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15480" windowHeight="9015" firstSheet="1" activeTab="5"/>
  </bookViews>
  <sheets>
    <sheet name="Lương T05" sheetId="60" r:id="rId1"/>
    <sheet name="Lương T10" sheetId="67" r:id="rId2"/>
    <sheet name="BV T10" sheetId="65" r:id="rId3"/>
    <sheet name="CL T1" sheetId="53" r:id="rId4"/>
    <sheet name="BH T1 " sheetId="56" r:id="rId5"/>
    <sheet name="CĐ T1 " sheetId="57" r:id="rId6"/>
  </sheets>
  <definedNames>
    <definedName name="_xlnm.Print_Area" localSheetId="0">'Lương T05'!$A$1:$Z$37</definedName>
  </definedNames>
  <calcPr calcId="125725"/>
</workbook>
</file>

<file path=xl/calcChain.xml><?xml version="1.0" encoding="utf-8"?>
<calcChain xmlns="http://schemas.openxmlformats.org/spreadsheetml/2006/main">
  <c r="I20" i="53"/>
  <c r="I23" s="1"/>
  <c r="I27" s="1"/>
  <c r="J23"/>
  <c r="H16" i="56"/>
  <c r="I16" i="53"/>
  <c r="X23" i="67" l="1"/>
  <c r="X24"/>
  <c r="I19" i="53"/>
  <c r="I17"/>
  <c r="H17"/>
  <c r="K26" i="67" l="1"/>
  <c r="L26" s="1"/>
  <c r="G27"/>
  <c r="I22" i="53"/>
  <c r="M12" i="60" l="1"/>
  <c r="J12"/>
  <c r="H13" i="67"/>
  <c r="J23" i="56"/>
  <c r="J22"/>
  <c r="J21"/>
  <c r="J20"/>
  <c r="J19"/>
  <c r="J16"/>
  <c r="J18"/>
  <c r="H18" l="1"/>
  <c r="I21" i="53"/>
  <c r="I18"/>
  <c r="O12" i="65"/>
  <c r="O13"/>
  <c r="O14"/>
  <c r="O15"/>
  <c r="O16"/>
  <c r="O11"/>
  <c r="M12"/>
  <c r="M13"/>
  <c r="M14"/>
  <c r="M15"/>
  <c r="M16"/>
  <c r="M11"/>
  <c r="L12"/>
  <c r="L13"/>
  <c r="L14"/>
  <c r="L15"/>
  <c r="L16"/>
  <c r="L11"/>
  <c r="K12"/>
  <c r="K13"/>
  <c r="K14"/>
  <c r="K15"/>
  <c r="K16"/>
  <c r="K11"/>
  <c r="J12"/>
  <c r="J13"/>
  <c r="J14"/>
  <c r="J15"/>
  <c r="J16"/>
  <c r="J11"/>
  <c r="I12"/>
  <c r="I13"/>
  <c r="I14"/>
  <c r="I15"/>
  <c r="I16"/>
  <c r="I11"/>
  <c r="G12"/>
  <c r="G13"/>
  <c r="G16"/>
  <c r="G11"/>
  <c r="S32" i="60"/>
  <c r="T12"/>
  <c r="T19"/>
  <c r="S11"/>
  <c r="S12"/>
  <c r="S13"/>
  <c r="S14"/>
  <c r="S15"/>
  <c r="S16"/>
  <c r="S17"/>
  <c r="S18"/>
  <c r="S19"/>
  <c r="S20"/>
  <c r="S21"/>
  <c r="S22"/>
  <c r="S23"/>
  <c r="S24"/>
  <c r="S25"/>
  <c r="S10"/>
  <c r="R11"/>
  <c r="R12"/>
  <c r="R13"/>
  <c r="R14"/>
  <c r="R15"/>
  <c r="R16"/>
  <c r="R17"/>
  <c r="R18"/>
  <c r="R19"/>
  <c r="R20"/>
  <c r="R21"/>
  <c r="R22"/>
  <c r="R23"/>
  <c r="R24"/>
  <c r="R25"/>
  <c r="R27"/>
  <c r="R10"/>
  <c r="O11"/>
  <c r="O12"/>
  <c r="O13"/>
  <c r="O14"/>
  <c r="O15"/>
  <c r="O16"/>
  <c r="O17"/>
  <c r="O18"/>
  <c r="O19"/>
  <c r="O20"/>
  <c r="O21"/>
  <c r="O22"/>
  <c r="O23"/>
  <c r="O24"/>
  <c r="O25"/>
  <c r="O10"/>
  <c r="T21" i="67"/>
  <c r="T23"/>
  <c r="T24"/>
  <c r="T25"/>
  <c r="T26"/>
  <c r="S21"/>
  <c r="S23"/>
  <c r="S24"/>
  <c r="S25"/>
  <c r="S26"/>
  <c r="R21"/>
  <c r="R23"/>
  <c r="R24"/>
  <c r="R25"/>
  <c r="R26"/>
  <c r="Q21"/>
  <c r="Q23"/>
  <c r="Q24"/>
  <c r="Q25"/>
  <c r="Q26"/>
  <c r="P21"/>
  <c r="P23"/>
  <c r="P24"/>
  <c r="P25"/>
  <c r="P26"/>
  <c r="O21"/>
  <c r="O23"/>
  <c r="O24"/>
  <c r="O25"/>
  <c r="O26"/>
  <c r="N21"/>
  <c r="N23"/>
  <c r="N24"/>
  <c r="N25"/>
  <c r="N26"/>
  <c r="U11" i="60"/>
  <c r="U12"/>
  <c r="U13"/>
  <c r="U14"/>
  <c r="U15"/>
  <c r="U16"/>
  <c r="U17"/>
  <c r="U18"/>
  <c r="U19"/>
  <c r="U20"/>
  <c r="U21"/>
  <c r="U22"/>
  <c r="U23"/>
  <c r="U24"/>
  <c r="U25"/>
  <c r="U10"/>
  <c r="O26" l="1"/>
  <c r="AA17"/>
  <c r="I18" i="67"/>
  <c r="K32" i="60"/>
  <c r="E26"/>
  <c r="O29" s="1"/>
  <c r="K17"/>
  <c r="I18" i="56"/>
  <c r="N11" i="65"/>
  <c r="N12"/>
  <c r="N15"/>
  <c r="N16"/>
  <c r="F12"/>
  <c r="F13"/>
  <c r="F14"/>
  <c r="G14" s="1"/>
  <c r="F15"/>
  <c r="G15" s="1"/>
  <c r="F16"/>
  <c r="F11"/>
  <c r="V23" i="67"/>
  <c r="V24"/>
  <c r="V25"/>
  <c r="K21"/>
  <c r="L21" s="1"/>
  <c r="W27"/>
  <c r="U27"/>
  <c r="H21" i="53"/>
  <c r="F27" i="67"/>
  <c r="H19" i="53" s="1"/>
  <c r="E27" i="67"/>
  <c r="H18" i="53" s="1"/>
  <c r="D27" i="67"/>
  <c r="V26"/>
  <c r="J26"/>
  <c r="J25"/>
  <c r="K25" s="1"/>
  <c r="J24"/>
  <c r="K24" s="1"/>
  <c r="L24" s="1"/>
  <c r="J23"/>
  <c r="K23" s="1"/>
  <c r="L23" s="1"/>
  <c r="J22"/>
  <c r="I22"/>
  <c r="V21"/>
  <c r="J20"/>
  <c r="K20" s="1"/>
  <c r="L20" s="1"/>
  <c r="I20"/>
  <c r="J19"/>
  <c r="I19"/>
  <c r="J18"/>
  <c r="J17"/>
  <c r="I17"/>
  <c r="J16"/>
  <c r="I16"/>
  <c r="J15"/>
  <c r="K15" s="1"/>
  <c r="L15" s="1"/>
  <c r="I15"/>
  <c r="J14"/>
  <c r="I14"/>
  <c r="H27"/>
  <c r="J12"/>
  <c r="I12"/>
  <c r="J11"/>
  <c r="I11"/>
  <c r="K12" i="60"/>
  <c r="N13" i="65"/>
  <c r="N14"/>
  <c r="X27" i="67" l="1"/>
  <c r="V12" i="60"/>
  <c r="L12"/>
  <c r="T12" i="67"/>
  <c r="O12"/>
  <c r="S12"/>
  <c r="Q12"/>
  <c r="N12"/>
  <c r="R12"/>
  <c r="P12"/>
  <c r="K19"/>
  <c r="L19" s="1"/>
  <c r="S19"/>
  <c r="Q19"/>
  <c r="N19"/>
  <c r="P19"/>
  <c r="T19"/>
  <c r="O19"/>
  <c r="R19"/>
  <c r="R14"/>
  <c r="S14"/>
  <c r="Q14"/>
  <c r="N14"/>
  <c r="P14"/>
  <c r="T14"/>
  <c r="O14"/>
  <c r="P16"/>
  <c r="T16"/>
  <c r="O16"/>
  <c r="R16"/>
  <c r="S16"/>
  <c r="Q16"/>
  <c r="N16"/>
  <c r="R18"/>
  <c r="S18"/>
  <c r="Q18"/>
  <c r="N18"/>
  <c r="P18"/>
  <c r="T18"/>
  <c r="V18" s="1"/>
  <c r="O18"/>
  <c r="Q11"/>
  <c r="N11"/>
  <c r="O11"/>
  <c r="P11"/>
  <c r="T11"/>
  <c r="P20"/>
  <c r="T20"/>
  <c r="V20" s="1"/>
  <c r="O20"/>
  <c r="X20" s="1"/>
  <c r="R20"/>
  <c r="S20"/>
  <c r="Q20"/>
  <c r="N20"/>
  <c r="S15"/>
  <c r="Q15"/>
  <c r="N15"/>
  <c r="P15"/>
  <c r="T15"/>
  <c r="O15"/>
  <c r="R15"/>
  <c r="T17"/>
  <c r="O17"/>
  <c r="R17"/>
  <c r="S17"/>
  <c r="Q17"/>
  <c r="N17"/>
  <c r="P17"/>
  <c r="R22"/>
  <c r="S22"/>
  <c r="Q22"/>
  <c r="N22"/>
  <c r="P22"/>
  <c r="T22"/>
  <c r="V22" s="1"/>
  <c r="O22"/>
  <c r="X25"/>
  <c r="L25"/>
  <c r="K12"/>
  <c r="L12" s="1"/>
  <c r="K31" i="60"/>
  <c r="I16" i="56"/>
  <c r="H16" i="53"/>
  <c r="K16" i="67"/>
  <c r="L16" s="1"/>
  <c r="K17"/>
  <c r="L17" s="1"/>
  <c r="V16"/>
  <c r="J13"/>
  <c r="J27" s="1"/>
  <c r="H20" i="53" s="1"/>
  <c r="K22" i="67"/>
  <c r="L22" s="1"/>
  <c r="K18"/>
  <c r="L18" s="1"/>
  <c r="K14"/>
  <c r="V17"/>
  <c r="K11"/>
  <c r="L11" s="1"/>
  <c r="I13"/>
  <c r="X26"/>
  <c r="V14"/>
  <c r="V19"/>
  <c r="X21"/>
  <c r="V12"/>
  <c r="X15"/>
  <c r="V15"/>
  <c r="X22"/>
  <c r="T27" i="60"/>
  <c r="T28"/>
  <c r="X19" i="67" l="1"/>
  <c r="X14"/>
  <c r="L14"/>
  <c r="X18"/>
  <c r="X16"/>
  <c r="X17"/>
  <c r="P13"/>
  <c r="Q13"/>
  <c r="T13"/>
  <c r="V13" s="1"/>
  <c r="S13"/>
  <c r="S27" s="1"/>
  <c r="R13"/>
  <c r="O13"/>
  <c r="O27" s="1"/>
  <c r="N13"/>
  <c r="N27" s="1"/>
  <c r="I27"/>
  <c r="Q27"/>
  <c r="X11"/>
  <c r="P27"/>
  <c r="K13"/>
  <c r="L13" s="1"/>
  <c r="V11"/>
  <c r="X12"/>
  <c r="R27"/>
  <c r="K21" i="60"/>
  <c r="K20"/>
  <c r="K18"/>
  <c r="K16"/>
  <c r="K15"/>
  <c r="L27" i="67" l="1"/>
  <c r="X13"/>
  <c r="H19" i="56"/>
  <c r="I19" s="1"/>
  <c r="H22" i="53"/>
  <c r="H23" s="1"/>
  <c r="V27" i="67"/>
  <c r="T27"/>
  <c r="K27"/>
  <c r="M17" i="60"/>
  <c r="T17" s="1"/>
  <c r="H26"/>
  <c r="R26" s="1"/>
  <c r="E17" i="65" l="1"/>
  <c r="S16"/>
  <c r="D17"/>
  <c r="Q16"/>
  <c r="S15"/>
  <c r="Q15"/>
  <c r="H17" i="56" l="1"/>
  <c r="H20"/>
  <c r="H22"/>
  <c r="H16" i="57"/>
  <c r="H21" i="56"/>
  <c r="O17" i="65"/>
  <c r="I16" i="57" s="1"/>
  <c r="L17" i="65"/>
  <c r="K17"/>
  <c r="I21" i="56" s="1"/>
  <c r="J17" i="65"/>
  <c r="I17"/>
  <c r="I20" i="56" s="1"/>
  <c r="H24" l="1"/>
  <c r="I17"/>
  <c r="R17" i="65" l="1"/>
  <c r="P17"/>
  <c r="Q14"/>
  <c r="Q13"/>
  <c r="Q12"/>
  <c r="N17"/>
  <c r="M17"/>
  <c r="S11"/>
  <c r="I22" i="56" l="1"/>
  <c r="I24" s="1"/>
  <c r="S12" i="65"/>
  <c r="F17"/>
  <c r="G17" s="1"/>
  <c r="Q11"/>
  <c r="Q17" s="1"/>
  <c r="S14"/>
  <c r="S17" s="1"/>
  <c r="S13"/>
  <c r="S27" i="60"/>
  <c r="S26" l="1"/>
  <c r="Q11"/>
  <c r="Q12"/>
  <c r="Q13"/>
  <c r="Q14"/>
  <c r="Q15"/>
  <c r="Q16"/>
  <c r="Q17"/>
  <c r="Q18"/>
  <c r="Q19"/>
  <c r="Q20"/>
  <c r="Q21"/>
  <c r="Q22"/>
  <c r="Q23"/>
  <c r="Q24"/>
  <c r="Q25"/>
  <c r="P11"/>
  <c r="P12"/>
  <c r="P13"/>
  <c r="P14"/>
  <c r="P15"/>
  <c r="P16"/>
  <c r="P17"/>
  <c r="P18"/>
  <c r="P19"/>
  <c r="P20"/>
  <c r="P21"/>
  <c r="P22"/>
  <c r="P23"/>
  <c r="P24"/>
  <c r="P25"/>
  <c r="P10"/>
  <c r="Q10"/>
  <c r="O27"/>
  <c r="O28" s="1"/>
  <c r="O30" s="1"/>
  <c r="R29" l="1"/>
  <c r="M20"/>
  <c r="T20" s="1"/>
  <c r="L27"/>
  <c r="K27"/>
  <c r="V27" s="1"/>
  <c r="AC20"/>
  <c r="AD26"/>
  <c r="N26"/>
  <c r="I26"/>
  <c r="G26"/>
  <c r="F26"/>
  <c r="M25"/>
  <c r="T25" s="1"/>
  <c r="J25"/>
  <c r="L25" s="1"/>
  <c r="V25" s="1"/>
  <c r="Y25" s="1"/>
  <c r="Y24"/>
  <c r="M24"/>
  <c r="T24" s="1"/>
  <c r="J24"/>
  <c r="L24" s="1"/>
  <c r="V24" s="1"/>
  <c r="M23"/>
  <c r="T23" s="1"/>
  <c r="J23"/>
  <c r="L23" s="1"/>
  <c r="V23" s="1"/>
  <c r="Y23" s="1"/>
  <c r="AC22"/>
  <c r="M22"/>
  <c r="T22" s="1"/>
  <c r="J22"/>
  <c r="L22" s="1"/>
  <c r="M21"/>
  <c r="T21" s="1"/>
  <c r="J21"/>
  <c r="L21" s="1"/>
  <c r="V21" s="1"/>
  <c r="J20"/>
  <c r="L20" s="1"/>
  <c r="V20" s="1"/>
  <c r="AC19"/>
  <c r="L19"/>
  <c r="V19" s="1"/>
  <c r="J19"/>
  <c r="AC18"/>
  <c r="M18"/>
  <c r="T18" s="1"/>
  <c r="J18"/>
  <c r="L18" s="1"/>
  <c r="V18" s="1"/>
  <c r="AC17"/>
  <c r="J17"/>
  <c r="L17" s="1"/>
  <c r="V17" s="1"/>
  <c r="M16"/>
  <c r="T16" s="1"/>
  <c r="J16"/>
  <c r="L16" s="1"/>
  <c r="V16" s="1"/>
  <c r="M15"/>
  <c r="T15" s="1"/>
  <c r="J15"/>
  <c r="L15" s="1"/>
  <c r="V15" s="1"/>
  <c r="AC14"/>
  <c r="M14"/>
  <c r="T14" s="1"/>
  <c r="J14"/>
  <c r="K14" s="1"/>
  <c r="AC13"/>
  <c r="M13"/>
  <c r="T13" s="1"/>
  <c r="J13"/>
  <c r="K13" s="1"/>
  <c r="M11"/>
  <c r="T11" s="1"/>
  <c r="J11"/>
  <c r="U26"/>
  <c r="U28" s="1"/>
  <c r="U30" s="1"/>
  <c r="Q26"/>
  <c r="Q28" s="1"/>
  <c r="P26"/>
  <c r="P28" s="1"/>
  <c r="M10"/>
  <c r="T10" s="1"/>
  <c r="J10"/>
  <c r="K10" s="1"/>
  <c r="Y17" l="1"/>
  <c r="Z17" s="1"/>
  <c r="W17"/>
  <c r="X17" s="1"/>
  <c r="V22"/>
  <c r="Y22" s="1"/>
  <c r="Z22" s="1"/>
  <c r="L13"/>
  <c r="L11"/>
  <c r="V11" s="1"/>
  <c r="W11" s="1"/>
  <c r="X11" s="1"/>
  <c r="K11"/>
  <c r="K26" s="1"/>
  <c r="J26"/>
  <c r="W18"/>
  <c r="X18" s="1"/>
  <c r="L14"/>
  <c r="V14" s="1"/>
  <c r="S28"/>
  <c r="S30" s="1"/>
  <c r="Y20"/>
  <c r="Z20" s="1"/>
  <c r="L10"/>
  <c r="V10" s="1"/>
  <c r="W10" s="1"/>
  <c r="Q29"/>
  <c r="Q30" s="1"/>
  <c r="P29"/>
  <c r="P30" s="1"/>
  <c r="Y21"/>
  <c r="Z21" s="1"/>
  <c r="Y15"/>
  <c r="Z15" s="1"/>
  <c r="Y11"/>
  <c r="Z11" s="1"/>
  <c r="Y19"/>
  <c r="Z19" s="1"/>
  <c r="W16"/>
  <c r="X16" s="1"/>
  <c r="AC16"/>
  <c r="R28"/>
  <c r="R30" s="1"/>
  <c r="W21"/>
  <c r="X21" s="1"/>
  <c r="W23"/>
  <c r="X23" s="1"/>
  <c r="AC23"/>
  <c r="W24"/>
  <c r="X24" s="1"/>
  <c r="AC24"/>
  <c r="W25"/>
  <c r="X25" s="1"/>
  <c r="AC25"/>
  <c r="M26"/>
  <c r="T26" s="1"/>
  <c r="T30" s="1"/>
  <c r="Y16"/>
  <c r="Z16" s="1"/>
  <c r="W20"/>
  <c r="X20" s="1"/>
  <c r="Z23"/>
  <c r="Z24"/>
  <c r="Z25"/>
  <c r="AC12"/>
  <c r="AC11"/>
  <c r="W15"/>
  <c r="X15" s="1"/>
  <c r="AC15"/>
  <c r="AC21"/>
  <c r="AC10"/>
  <c r="AE10" s="1"/>
  <c r="W19"/>
  <c r="X19" s="1"/>
  <c r="Y13" l="1"/>
  <c r="Z13" s="1"/>
  <c r="V13"/>
  <c r="W13" s="1"/>
  <c r="X13" s="1"/>
  <c r="W22"/>
  <c r="X22" s="1"/>
  <c r="Y18"/>
  <c r="Z18" s="1"/>
  <c r="Y14"/>
  <c r="L26"/>
  <c r="Y12"/>
  <c r="Z12" s="1"/>
  <c r="W12"/>
  <c r="X12" s="1"/>
  <c r="W14" l="1"/>
  <c r="X14" s="1"/>
  <c r="Z14"/>
  <c r="V26"/>
  <c r="V28" s="1"/>
  <c r="V29" s="1"/>
  <c r="Y29" s="1"/>
  <c r="Y10"/>
  <c r="W26" l="1"/>
  <c r="W28" s="1"/>
  <c r="H20" i="57"/>
  <c r="Y26" i="60"/>
  <c r="Y28" s="1"/>
  <c r="Z10"/>
  <c r="Z26" s="1"/>
  <c r="Z28" s="1"/>
  <c r="X10"/>
  <c r="X26" s="1"/>
  <c r="X28" s="1"/>
  <c r="V30" l="1"/>
  <c r="Z30" s="1"/>
</calcChain>
</file>

<file path=xl/sharedStrings.xml><?xml version="1.0" encoding="utf-8"?>
<sst xmlns="http://schemas.openxmlformats.org/spreadsheetml/2006/main" count="459" uniqueCount="247">
  <si>
    <t>STT</t>
  </si>
  <si>
    <t>CV</t>
  </si>
  <si>
    <t>M.6100.
6113</t>
  </si>
  <si>
    <t>M.6100.
6115</t>
  </si>
  <si>
    <t>M.6100.
6102</t>
  </si>
  <si>
    <t>M.6100.
6112</t>
  </si>
  <si>
    <t>GV</t>
  </si>
  <si>
    <t>GV-KT</t>
  </si>
  <si>
    <t>Võ Lương Ngọc Nhàn</t>
  </si>
  <si>
    <t>06.032</t>
  </si>
  <si>
    <t>Phoøng Giaùo duïc  vaø Ñaøo taïo Caàn Giuoäc</t>
  </si>
  <si>
    <t>COÄNG HOØA XAÕ HOÄI CHUÛ NGHÓA VIEÄT NAM</t>
  </si>
  <si>
    <t xml:space="preserve"> Ñoäc laäp - Töï do - Haïnh phuùc</t>
  </si>
  <si>
    <t>Hoï vaø teân</t>
  </si>
  <si>
    <t>Maõ ngaïch</t>
  </si>
  <si>
    <t>TOÅNG COÄNG</t>
  </si>
  <si>
    <t>THÖÏC NHAÄN</t>
  </si>
  <si>
    <t>Thöïc ruùt</t>
  </si>
  <si>
    <t xml:space="preserve"> Keá Toùan</t>
  </si>
  <si>
    <t>Hieäu Tröôûng</t>
  </si>
  <si>
    <t xml:space="preserve">    </t>
  </si>
  <si>
    <t>Nội dung thanh toán</t>
  </si>
  <si>
    <t>Mã
NDKT</t>
  </si>
  <si>
    <t>PHẦN KBNN GHI</t>
  </si>
  <si>
    <t>Bộ phận kiểm soát của KBNN</t>
  </si>
  <si>
    <t>Đơn vị sử dụng ngân sách</t>
  </si>
  <si>
    <t>Kế toán trưởng</t>
  </si>
  <si>
    <t>Đơn vị nhận tiền: Bảo hiểm xã hội huyện Cần Giuộc</t>
  </si>
  <si>
    <t>Tröôøng MAÃU GIAÙO PHÖÔÙC VÓNH  TAÂY</t>
  </si>
  <si>
    <t>Löông cô baûn:</t>
  </si>
  <si>
    <t>Heä soá</t>
  </si>
  <si>
    <t>Soá tieàn löông vaø phuï caáp</t>
  </si>
  <si>
    <t>KÝ NHẬN</t>
  </si>
  <si>
    <t>t8</t>
  </si>
  <si>
    <t>Khu vöïc</t>
  </si>
  <si>
    <t>M.6000.
6049</t>
  </si>
  <si>
    <t>Maãu Giaùo Phöôùc Vónh Taây</t>
  </si>
  <si>
    <t>Tại KBNN Cần Giuộc</t>
  </si>
  <si>
    <t>Đơn vị nhận tiền: Trường MG Phước Vĩnh Tây</t>
  </si>
  <si>
    <t>Voõ Löông Ngoïc Nhaøn</t>
  </si>
  <si>
    <t>Đơn vị nhận tiền: Liên đoàn Lao động huyện Cần Giuộc</t>
  </si>
  <si>
    <t>Ghi chú</t>
  </si>
  <si>
    <t>Tổng cộng</t>
  </si>
  <si>
    <t>Cộng</t>
  </si>
  <si>
    <t>GV-KP</t>
  </si>
  <si>
    <t>Thủ trưởng đơn vị</t>
  </si>
  <si>
    <t>Trần Thị Kim Haø</t>
  </si>
  <si>
    <t>Hieäu tröôûng</t>
  </si>
  <si>
    <t>Löông</t>
  </si>
  <si>
    <t>Chöùc
vuï</t>
  </si>
  <si>
    <t>Traùch nhieäm</t>
  </si>
  <si>
    <t>P. HT</t>
  </si>
  <si>
    <t>Leâ Thò Ngoïc Dung</t>
  </si>
  <si>
    <t>Giaùo vieân</t>
  </si>
  <si>
    <t>Nguyeãn Thò Hoàng Lieân</t>
  </si>
  <si>
    <t>Nguyeãn Thò Myõ Phöôïng</t>
  </si>
  <si>
    <t>Traàn Kim Loäc</t>
  </si>
  <si>
    <t>Bieän Thò Hoàng Thaém</t>
  </si>
  <si>
    <t>Nguyeãn Thò Tuyeát Lan</t>
  </si>
  <si>
    <t>Leâ Thò Dieäu Hieàn</t>
  </si>
  <si>
    <t>Keá Toaùn- KT</t>
  </si>
  <si>
    <t>Cao Thò Kim Chi</t>
  </si>
  <si>
    <t>Nguyeãn Ngoïc Dung</t>
  </si>
  <si>
    <t>Leâ Traàn Thanh Haèng</t>
  </si>
  <si>
    <t>Traàn Thò Kim Cöông</t>
  </si>
  <si>
    <t>Voõ Thò Kim Trang</t>
  </si>
  <si>
    <t>M.
6100.
6101</t>
  </si>
  <si>
    <t>Nguyễn Thị Kiều Oanh</t>
  </si>
  <si>
    <t>Biện Thị Hồng Thắm</t>
  </si>
  <si>
    <t>V.07.02.04</t>
  </si>
  <si>
    <t>V.07.02.06</t>
  </si>
  <si>
    <t>V.07.02.05</t>
  </si>
  <si>
    <t>M.6000.
6001</t>
  </si>
  <si>
    <t>Trần Kim Lộc</t>
  </si>
  <si>
    <t>Baûo hieåm
23,5%</t>
  </si>
  <si>
    <t>Tài khoản: 9523.3.1084668.00000</t>
  </si>
  <si>
    <t>Tại Kho Bạc nhà nước Cần Giuộc</t>
  </si>
  <si>
    <t>Tại kho bạc nhà nước Cần Giuộc</t>
  </si>
  <si>
    <t xml:space="preserve">Tài khoản: 3741.0.1057756.92008     </t>
  </si>
  <si>
    <t xml:space="preserve">Tài khoản: 3751.0.9005489.00000   </t>
  </si>
  <si>
    <t>Löông
khaùc</t>
  </si>
  <si>
    <t>M.6000.
6003</t>
  </si>
  <si>
    <t>Öu ñaõi</t>
  </si>
  <si>
    <t>10,5%BHXH+
BHYT+BHTN</t>
  </si>
  <si>
    <t xml:space="preserve">10,5% BHXH+ BHYT+BHTN </t>
  </si>
  <si>
    <t>Không ghi vào
khu vực này</t>
  </si>
  <si>
    <t>Mẫu số: C2-02a/NS</t>
  </si>
  <si>
    <t>GIẤY RÚT DỰ TOÁN NGÂN SÁCH</t>
  </si>
  <si>
    <t>(Theo TT số 77/2017/TT-BTC ngày 28/7/2017
của Bộ Tài chính)</t>
  </si>
  <si>
    <t xml:space="preserve">         Thực chi:   </t>
  </si>
  <si>
    <t>Tạm ứng:</t>
  </si>
  <si>
    <t xml:space="preserve">    Chuyển khoản:</t>
  </si>
  <si>
    <t xml:space="preserve">         Ứng trước đủ ĐK thanh toán:              </t>
  </si>
  <si>
    <t xml:space="preserve">    Tiền mặt tại KB:</t>
  </si>
  <si>
    <t xml:space="preserve">         Ứng trước chưa đủ ĐK thanh toán:    </t>
  </si>
  <si>
    <t xml:space="preserve">    Tiền mặt tại NH:</t>
  </si>
  <si>
    <r>
      <t>Đơn vị rút dự toán: TRƯỜNG MẪU GIÁO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PHƯỚC VĨNH TÂY</t>
    </r>
  </si>
  <si>
    <t xml:space="preserve">Tên CTMT, DA: </t>
  </si>
  <si>
    <t xml:space="preserve"> </t>
  </si>
  <si>
    <t xml:space="preserve">Mã CTMT, DA: </t>
  </si>
  <si>
    <t>Số CKC, HĐK:</t>
  </si>
  <si>
    <t>Số CKC, HĐTH:</t>
  </si>
  <si>
    <t>Mã
Chương</t>
  </si>
  <si>
    <t>Mã ngành
KT</t>
  </si>
  <si>
    <t>Mã nguồn
NSNN</t>
  </si>
  <si>
    <t>Số tiền</t>
  </si>
  <si>
    <t xml:space="preserve">  Nợ TK: 8113</t>
  </si>
  <si>
    <t xml:space="preserve">  Có TK: 1191</t>
  </si>
  <si>
    <t xml:space="preserve">  Nợ TK:</t>
  </si>
  <si>
    <t xml:space="preserve">  Có TK:</t>
  </si>
  <si>
    <t>Hoặc người nhận tiền:</t>
  </si>
  <si>
    <t xml:space="preserve">CMND số:                         Cấp ngày                           Nơi cấp:  </t>
  </si>
  <si>
    <t xml:space="preserve">  Mã ĐBHC: 807</t>
  </si>
  <si>
    <t>Kiểm soát</t>
  </si>
  <si>
    <t>Phụ trách</t>
  </si>
  <si>
    <t>(Ký, ghi họ tên)</t>
  </si>
  <si>
    <t>(Ký, ghi họ tên, đóng dấu)</t>
  </si>
  <si>
    <t>Người nhận tiền</t>
  </si>
  <si>
    <t>KHO BẠC NHÀ NƯỚC</t>
  </si>
  <si>
    <t>KHO BẠC NHÀ NƯỚC (NGÂN HÀNG) B</t>
  </si>
  <si>
    <t>Thanh toán ngày …… tháng …… năm ……</t>
  </si>
  <si>
    <t>Ngày …… tháng …… năm ……</t>
  </si>
  <si>
    <t>(Ký, ghi rõ họ tên)</t>
  </si>
  <si>
    <t xml:space="preserve">   Thủ quỹ     Kế toán      Kế toán trưởng          Giám đốc</t>
  </si>
  <si>
    <t xml:space="preserve">          Kế toán                 Kế toán trưởng               Giám đốc</t>
  </si>
  <si>
    <t>6102</t>
  </si>
  <si>
    <t>6112</t>
  </si>
  <si>
    <t>Địa chỉ: Ấp 3, Xã Phước Vĩnh Tây, huyện Cần Giuộc, tỉnh Long An.</t>
  </si>
  <si>
    <t>Tài khoản: 070.045.685.800</t>
  </si>
  <si>
    <t>Tại Ngân hàng Sacombank chi nhánh Cần Giuộc</t>
  </si>
  <si>
    <t>6304</t>
  </si>
  <si>
    <t>6302</t>
  </si>
  <si>
    <t>6301</t>
  </si>
  <si>
    <t xml:space="preserve">  Có TK: 3751.0.9005489.00000</t>
  </si>
  <si>
    <t>Địa chỉ: Thị trấn Cần Giuộc, huyện Cần Giuộc</t>
  </si>
  <si>
    <t>6303</t>
  </si>
  <si>
    <t>Löông HĐ theo chế ñộ</t>
  </si>
  <si>
    <t>PCTN Vöôït khung, thaâm nieân ngheà</t>
  </si>
  <si>
    <t>Vöôït khung</t>
  </si>
  <si>
    <t>Thaâm nieân</t>
  </si>
  <si>
    <t>Toång coång</t>
  </si>
  <si>
    <t>071</t>
  </si>
  <si>
    <t>6051</t>
  </si>
  <si>
    <t>Lập bảng</t>
  </si>
  <si>
    <t>Tổng cộng sau trừ thai sản</t>
  </si>
  <si>
    <t>Nợ TK: 8113</t>
  </si>
  <si>
    <t>Có TK: 3741.0.1057756.92008</t>
  </si>
  <si>
    <t xml:space="preserve">Chấm coâng thai sản
</t>
  </si>
  <si>
    <t>Phöôùc Vónh Taây, ngaøy    01   thaùng 08 naêm 2018</t>
  </si>
  <si>
    <t>Đơn vị: Trường MG Phước Vĩnh Tây</t>
  </si>
  <si>
    <t>Mẫu số: C02-HD</t>
  </si>
  <si>
    <t>Mã QHNS: 1084668</t>
  </si>
  <si>
    <t>BẢNG THANH TOÁN TIỀN LƯƠNG VÀ CÁC KHOẢN PHỤ CẤP THEO LƯƠNG</t>
  </si>
  <si>
    <t>CÁC KHOẢN TRÍCH NỘP THEO LƯƠNG</t>
  </si>
  <si>
    <t xml:space="preserve">Lương cơ bản: </t>
  </si>
  <si>
    <t>Họ và tên</t>
  </si>
  <si>
    <t>Mã ngạch</t>
  </si>
  <si>
    <t>Hệ số 
lương</t>
  </si>
  <si>
    <t>HS phụ cấp Chức vụ</t>
  </si>
  <si>
    <t>HS PC
 khu vực</t>
  </si>
  <si>
    <t>HS PC
 trách nhiệm</t>
  </si>
  <si>
    <t>HS PC 
vượt Khung</t>
  </si>
  <si>
    <t>HSPC
 thâm niên</t>
  </si>
  <si>
    <t>Hệ số ưu đãi</t>
  </si>
  <si>
    <t>Cộng
 hệ số</t>
  </si>
  <si>
    <t>Tiền lương
 tháng</t>
  </si>
  <si>
    <t>Ngày hưởng
 lương thực tế</t>
  </si>
  <si>
    <t>BHXH</t>
  </si>
  <si>
    <t>BHYT</t>
  </si>
  <si>
    <t>BHTN</t>
  </si>
  <si>
    <t>KPCĐ</t>
  </si>
  <si>
    <t>Số thực lãnh</t>
  </si>
  <si>
    <t>Trích
 vào CP</t>
  </si>
  <si>
    <t>trừ vào
 lương</t>
  </si>
  <si>
    <t>Trích 
vào CP</t>
  </si>
  <si>
    <t>trừ vào 
lương</t>
  </si>
  <si>
    <t>Số phải nộp công đoàn cấp trên</t>
  </si>
  <si>
    <t>Số để lại chi tại đơn vị</t>
  </si>
  <si>
    <t>Trần Thị Kim Hà</t>
  </si>
  <si>
    <t>Lê Thị Ngọc Dung</t>
  </si>
  <si>
    <t>Nguyễn Thị Hồng Liên</t>
  </si>
  <si>
    <t>Nguyễn Thị Mỹ Phượng</t>
  </si>
  <si>
    <t>Nguyễn Thị Tuyết Lan</t>
  </si>
  <si>
    <t>Lê Thị Diệu Hiền</t>
  </si>
  <si>
    <t>Cao Thị Kim Chi</t>
  </si>
  <si>
    <t>Nguyễn Ngọc Dung</t>
  </si>
  <si>
    <t>Lê Trần Thanh Hằng</t>
  </si>
  <si>
    <t>Trần Thị Kim Cương</t>
  </si>
  <si>
    <t>Võ Thị Kim Trang</t>
  </si>
  <si>
    <t>Người lập</t>
  </si>
  <si>
    <t>Đặng Thanh Nhàn</t>
  </si>
  <si>
    <t>Lưu Phước Trí</t>
  </si>
  <si>
    <t>Nguyễn Thị Hai</t>
  </si>
  <si>
    <t>6001</t>
  </si>
  <si>
    <t>6101</t>
  </si>
  <si>
    <t>6113</t>
  </si>
  <si>
    <t>6115</t>
  </si>
  <si>
    <t>trừ vào
 lương (8%)</t>
  </si>
  <si>
    <t>Trích
 vào CP (3%)</t>
  </si>
  <si>
    <t>trừ vào
 lương (1,5%)</t>
  </si>
  <si>
    <t>Trích
 vào CP (1%)</t>
  </si>
  <si>
    <t>trừ vào
 lương
(1%)</t>
  </si>
  <si>
    <t>Trích 
vào CP
(2%)</t>
  </si>
  <si>
    <t>Dương Thị Mỹ Dung</t>
  </si>
  <si>
    <t>Trần Thị Đen</t>
  </si>
  <si>
    <t>Phạm Thị Ngọc Thu</t>
  </si>
  <si>
    <t>Trích
 vào CP (17,5%)</t>
  </si>
  <si>
    <t>Ngày hưởng lương thực tế</t>
  </si>
  <si>
    <t>Năm NS: 2019</t>
  </si>
  <si>
    <t>Ngày          tháng       năm 2019</t>
  </si>
  <si>
    <t>HĐ 68</t>
  </si>
  <si>
    <t>Mã
 ngạch</t>
  </si>
  <si>
    <t>,</t>
  </si>
  <si>
    <t>Địa chỉ: Thị Trấn Cần Giuộc , huyện Cần Giuộc.</t>
  </si>
  <si>
    <t>BAÛNG TOÅNG HÔÏP LÖÔNG THAÙNG 04/2019</t>
  </si>
  <si>
    <t>Ngày … tháng … năm 2019</t>
  </si>
  <si>
    <t>Tháng 10 năm 2019</t>
  </si>
  <si>
    <t>Huỳnh Thị Kim Loan</t>
  </si>
  <si>
    <t>Phước Vĩnh Tây, ngày  01 tháng 10 năm 2019</t>
  </si>
  <si>
    <t>Tổng số tiền (bằng chữ): Mười lăm triệu hai trăm linh ba nghìn năm trăm mười ba đồng.</t>
  </si>
  <si>
    <t>Phước Vĩnh Tây, ngày 01 tháng 10 năm 2019</t>
  </si>
  <si>
    <t>Lương tháng 10/2019</t>
  </si>
  <si>
    <t>Lương Hợp đồng tháng 10/2019</t>
  </si>
  <si>
    <t>Phụ cấp chức vụ Tháng 10/2019</t>
  </si>
  <si>
    <t>Phụ cấp khu vực tháng 10/2019</t>
  </si>
  <si>
    <t>Phụ cấp ưu đãi tháng 10/2019</t>
  </si>
  <si>
    <t>Phụ cấp trách nhiệm tháng 10/2019</t>
  </si>
  <si>
    <t>Phụ cấp thâm niên vượt khung và thâm niên nghề T10/2019</t>
  </si>
  <si>
    <t>10,5% Bảo Hiểm Xã Hội+ BHYT+ BHTN T10/2019</t>
  </si>
  <si>
    <t>17,5% Bảo Hiểm Xã Hội Tháng 10/2019</t>
  </si>
  <si>
    <t>3% Bảo Hiểm Y Tế Tháng 10/2019</t>
  </si>
  <si>
    <t>1% Bảo Hiểm thất nghiệp Tháng 10/2019</t>
  </si>
  <si>
    <t>Ngày     tháng  10  năm 2019</t>
  </si>
  <si>
    <t>Ngày          tháng   10       năm 2019</t>
  </si>
  <si>
    <t>Ngày         tháng  10  năm 2019</t>
  </si>
  <si>
    <t>Ngày          tháng   10    năm 2019</t>
  </si>
  <si>
    <t>Chuyển 2% kinh phí công đoàn tháng 10/2019</t>
  </si>
  <si>
    <t>mốt đồng.</t>
  </si>
  <si>
    <t>Số: 103</t>
  </si>
  <si>
    <t>Số: 104</t>
  </si>
  <si>
    <t>Tổng số tiền (bằng chữ): Một trăm hai mươi bảy triệu chín trăm chín mươi hai nghìn ba trăm chín mươi đồng.</t>
  </si>
  <si>
    <t>Số tiền bằng chữ: Một trăm bốn mươi ba triệu một trăm chín mươi lăm nghìn chín trăm</t>
  </si>
  <si>
    <t>linh ba đồng./.</t>
  </si>
  <si>
    <t>Tổng số tiền ghi bằng chữ: Ba mươi bốn triệu bảy trăm bốn mươi bảy nghìn một trăm</t>
  </si>
  <si>
    <t>mười đồng.</t>
  </si>
  <si>
    <t>Số: 105</t>
  </si>
  <si>
    <t>Tổng số tiền ghi bằng chữ: Hai triệu một trăm tám mươi bốn nghìn tám trăm sáu mươi</t>
  </si>
</sst>
</file>

<file path=xl/styles.xml><?xml version="1.0" encoding="utf-8"?>
<styleSheet xmlns="http://schemas.openxmlformats.org/spreadsheetml/2006/main">
  <numFmts count="16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0"/>
    <numFmt numFmtId="167" formatCode="#,##0.000"/>
    <numFmt numFmtId="168" formatCode="_-* #,##0\ _₫_-;\-* #,##0\ _₫_-;_-* &quot;-&quot;??\ _₫_-;_-@_-"/>
    <numFmt numFmtId="169" formatCode="#,##0.0000"/>
    <numFmt numFmtId="171" formatCode="#,##0;[Red]#,##0"/>
    <numFmt numFmtId="173" formatCode="_(* #,##0.0000_);_(* \(#,##0.0000\);_(* &quot;-&quot;??_);_(@_)"/>
    <numFmt numFmtId="174" formatCode="0.0"/>
    <numFmt numFmtId="177" formatCode="0_);\(0\)"/>
    <numFmt numFmtId="178" formatCode="_-* #,##0.0\ _₫_-;\-* #,##0.0\ _₫_-;_-* &quot;-&quot;??\ _₫_-;_-@_-"/>
    <numFmt numFmtId="179" formatCode="#,##0.000000"/>
    <numFmt numFmtId="180" formatCode="_(* #,##0.000000_);_(* \(#,##0.000000\);_(* &quot;-&quot;??_);_(@_)"/>
    <numFmt numFmtId="181" formatCode="_(* #,##0.00000_);_(* \(#,##0.00000\);_(* &quot;-&quot;??_);_(@_)"/>
    <numFmt numFmtId="182" formatCode="_(* #,##0.0_);_(* \(#,##0.0\);_(* &quot;-&quot;?_);_(@_)"/>
  </numFmts>
  <fonts count="50">
    <font>
      <sz val="10"/>
      <name val="Arial"/>
    </font>
    <font>
      <sz val="10"/>
      <name val="Arial"/>
      <family val="2"/>
    </font>
    <font>
      <sz val="12"/>
      <color indexed="8"/>
      <name val="VNI-Times"/>
    </font>
    <font>
      <b/>
      <sz val="12"/>
      <color indexed="8"/>
      <name val="VNI-Times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indexed="8"/>
      <name val="VNI-Times"/>
    </font>
    <font>
      <sz val="10"/>
      <color indexed="8"/>
      <name val="VNI-Times"/>
    </font>
    <font>
      <b/>
      <sz val="10"/>
      <color indexed="8"/>
      <name val="VNI-Times"/>
    </font>
    <font>
      <b/>
      <sz val="11"/>
      <color indexed="8"/>
      <name val="VNI-Times"/>
    </font>
    <font>
      <b/>
      <sz val="13"/>
      <color indexed="8"/>
      <name val="VNI-Times"/>
    </font>
    <font>
      <b/>
      <sz val="8"/>
      <color indexed="8"/>
      <name val="VNI-Times"/>
    </font>
    <font>
      <b/>
      <i/>
      <sz val="12"/>
      <color indexed="8"/>
      <name val="VNI-Times"/>
    </font>
    <font>
      <sz val="12"/>
      <name val="Tahoma"/>
      <family val="2"/>
    </font>
    <font>
      <sz val="12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6"/>
      <color indexed="8"/>
      <name val="VNI-Times"/>
    </font>
    <font>
      <b/>
      <sz val="18"/>
      <color indexed="8"/>
      <name val="VNI-Times"/>
    </font>
    <font>
      <b/>
      <sz val="10"/>
      <color indexed="8"/>
      <name val="Times New Roman"/>
      <family val="1"/>
    </font>
    <font>
      <b/>
      <sz val="9"/>
      <color indexed="8"/>
      <name val="VNI-Times"/>
    </font>
    <font>
      <b/>
      <sz val="18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8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i/>
      <sz val="14"/>
      <name val="Times New Roman"/>
      <family val="1"/>
    </font>
    <font>
      <sz val="8"/>
      <color indexed="8"/>
      <name val="VNI-Times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13"/>
      <name val="Times New Roman"/>
      <family val="1"/>
    </font>
    <font>
      <sz val="11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7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8" fillId="2" borderId="0" xfId="0" applyFont="1" applyFill="1"/>
    <xf numFmtId="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0" fontId="3" fillId="2" borderId="0" xfId="0" applyFont="1" applyFill="1"/>
    <xf numFmtId="167" fontId="8" fillId="2" borderId="0" xfId="0" applyNumberFormat="1" applyFont="1" applyFill="1"/>
    <xf numFmtId="167" fontId="3" fillId="2" borderId="0" xfId="0" applyNumberFormat="1" applyFont="1" applyFill="1" applyBorder="1"/>
    <xf numFmtId="168" fontId="8" fillId="2" borderId="0" xfId="0" applyNumberFormat="1" applyFont="1" applyFill="1"/>
    <xf numFmtId="2" fontId="8" fillId="2" borderId="0" xfId="0" applyNumberFormat="1" applyFont="1" applyFill="1"/>
    <xf numFmtId="3" fontId="3" fillId="2" borderId="0" xfId="0" applyNumberFormat="1" applyFont="1" applyFill="1"/>
    <xf numFmtId="3" fontId="8" fillId="2" borderId="0" xfId="0" applyNumberFormat="1" applyFont="1" applyFill="1"/>
    <xf numFmtId="167" fontId="3" fillId="2" borderId="0" xfId="0" applyNumberFormat="1" applyFont="1" applyFill="1" applyBorder="1" applyAlignment="1">
      <alignment horizontal="center"/>
    </xf>
    <xf numFmtId="168" fontId="2" fillId="0" borderId="0" xfId="0" applyNumberFormat="1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0" fillId="0" borderId="0" xfId="0" applyFont="1"/>
    <xf numFmtId="49" fontId="2" fillId="0" borderId="0" xfId="0" applyNumberFormat="1" applyFont="1"/>
    <xf numFmtId="0" fontId="19" fillId="0" borderId="0" xfId="0" applyFont="1" applyAlignment="1"/>
    <xf numFmtId="49" fontId="3" fillId="0" borderId="0" xfId="0" applyNumberFormat="1" applyFont="1" applyAlignment="1">
      <alignment horizontal="center"/>
    </xf>
    <xf numFmtId="168" fontId="8" fillId="2" borderId="0" xfId="1" applyNumberFormat="1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7" fontId="10" fillId="2" borderId="1" xfId="0" applyNumberFormat="1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vertical="center"/>
    </xf>
    <xf numFmtId="2" fontId="10" fillId="2" borderId="1" xfId="1" applyNumberFormat="1" applyFont="1" applyFill="1" applyBorder="1" applyAlignment="1">
      <alignment vertical="center"/>
    </xf>
    <xf numFmtId="174" fontId="10" fillId="2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171" fontId="10" fillId="2" borderId="1" xfId="0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vertical="center"/>
    </xf>
    <xf numFmtId="171" fontId="6" fillId="2" borderId="1" xfId="0" applyNumberFormat="1" applyFont="1" applyFill="1" applyBorder="1" applyAlignment="1">
      <alignment vertical="center"/>
    </xf>
    <xf numFmtId="171" fontId="2" fillId="0" borderId="0" xfId="0" applyNumberFormat="1" applyFont="1"/>
    <xf numFmtId="168" fontId="3" fillId="0" borderId="0" xfId="1" applyNumberFormat="1" applyFont="1"/>
    <xf numFmtId="171" fontId="8" fillId="2" borderId="0" xfId="0" applyNumberFormat="1" applyFont="1" applyFill="1" applyAlignment="1">
      <alignment vertical="center"/>
    </xf>
    <xf numFmtId="167" fontId="3" fillId="2" borderId="1" xfId="0" applyNumberFormat="1" applyFont="1" applyFill="1" applyBorder="1"/>
    <xf numFmtId="2" fontId="8" fillId="2" borderId="1" xfId="0" applyNumberFormat="1" applyFont="1" applyFill="1" applyBorder="1"/>
    <xf numFmtId="165" fontId="3" fillId="2" borderId="1" xfId="1" applyNumberFormat="1" applyFont="1" applyFill="1" applyBorder="1"/>
    <xf numFmtId="3" fontId="9" fillId="2" borderId="1" xfId="0" applyNumberFormat="1" applyFont="1" applyFill="1" applyBorder="1"/>
    <xf numFmtId="165" fontId="8" fillId="2" borderId="0" xfId="0" applyNumberFormat="1" applyFont="1" applyFill="1"/>
    <xf numFmtId="3" fontId="3" fillId="2" borderId="1" xfId="0" applyNumberFormat="1" applyFont="1" applyFill="1" applyBorder="1"/>
    <xf numFmtId="171" fontId="8" fillId="2" borderId="0" xfId="0" applyNumberFormat="1" applyFont="1" applyFill="1"/>
    <xf numFmtId="3" fontId="6" fillId="2" borderId="1" xfId="0" applyNumberFormat="1" applyFont="1" applyFill="1" applyBorder="1"/>
    <xf numFmtId="2" fontId="8" fillId="2" borderId="0" xfId="0" applyNumberFormat="1" applyFont="1" applyFill="1" applyBorder="1"/>
    <xf numFmtId="3" fontId="3" fillId="2" borderId="0" xfId="0" applyNumberFormat="1" applyFont="1" applyFill="1" applyBorder="1"/>
    <xf numFmtId="3" fontId="3" fillId="2" borderId="8" xfId="0" applyNumberFormat="1" applyFont="1" applyFill="1" applyBorder="1"/>
    <xf numFmtId="3" fontId="9" fillId="2" borderId="8" xfId="0" applyNumberFormat="1" applyFont="1" applyFill="1" applyBorder="1"/>
    <xf numFmtId="3" fontId="6" fillId="2" borderId="8" xfId="0" applyNumberFormat="1" applyFont="1" applyFill="1" applyBorder="1"/>
    <xf numFmtId="3" fontId="6" fillId="2" borderId="0" xfId="0" applyNumberFormat="1" applyFont="1" applyFill="1" applyBorder="1"/>
    <xf numFmtId="165" fontId="4" fillId="0" borderId="0" xfId="0" applyNumberFormat="1" applyFont="1"/>
    <xf numFmtId="3" fontId="11" fillId="2" borderId="0" xfId="0" applyNumberFormat="1" applyFont="1" applyFill="1"/>
    <xf numFmtId="165" fontId="5" fillId="0" borderId="1" xfId="1" applyNumberFormat="1" applyFont="1" applyBorder="1"/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vertical="center"/>
    </xf>
    <xf numFmtId="168" fontId="10" fillId="2" borderId="7" xfId="1" quotePrefix="1" applyNumberFormat="1" applyFont="1" applyFill="1" applyBorder="1" applyAlignment="1">
      <alignment horizontal="center"/>
    </xf>
    <xf numFmtId="168" fontId="8" fillId="2" borderId="7" xfId="1" applyNumberFormat="1" applyFont="1" applyFill="1" applyBorder="1" applyAlignment="1">
      <alignment horizontal="center"/>
    </xf>
    <xf numFmtId="169" fontId="9" fillId="2" borderId="1" xfId="0" applyNumberFormat="1" applyFont="1" applyFill="1" applyBorder="1" applyAlignment="1">
      <alignment vertical="center"/>
    </xf>
    <xf numFmtId="174" fontId="10" fillId="2" borderId="1" xfId="1" applyNumberFormat="1" applyFont="1" applyFill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168" fontId="8" fillId="2" borderId="7" xfId="1" applyNumberFormat="1" applyFont="1" applyFill="1" applyBorder="1" applyAlignment="1">
      <alignment horizontal="left" vertical="center"/>
    </xf>
    <xf numFmtId="168" fontId="8" fillId="2" borderId="7" xfId="1" applyNumberFormat="1" applyFon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vertical="center"/>
    </xf>
    <xf numFmtId="0" fontId="28" fillId="0" borderId="4" xfId="0" applyFont="1" applyBorder="1" applyAlignment="1">
      <alignment vertical="center" wrapText="1"/>
    </xf>
    <xf numFmtId="0" fontId="29" fillId="0" borderId="0" xfId="0" applyFont="1" applyAlignment="1"/>
    <xf numFmtId="0" fontId="31" fillId="0" borderId="0" xfId="0" applyFont="1" applyAlignment="1">
      <alignment vertical="center"/>
    </xf>
    <xf numFmtId="0" fontId="28" fillId="0" borderId="8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5" fillId="0" borderId="4" xfId="0" applyFont="1" applyBorder="1" applyAlignment="1"/>
    <xf numFmtId="0" fontId="28" fillId="0" borderId="0" xfId="0" applyFont="1" applyAlignment="1"/>
    <xf numFmtId="0" fontId="28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4" fillId="0" borderId="0" xfId="0" applyFont="1" applyBorder="1"/>
    <xf numFmtId="0" fontId="25" fillId="0" borderId="0" xfId="0" applyFont="1" applyBorder="1" applyAlignment="1"/>
    <xf numFmtId="0" fontId="32" fillId="0" borderId="0" xfId="0" applyFont="1" applyBorder="1" applyAlignment="1"/>
    <xf numFmtId="0" fontId="14" fillId="0" borderId="0" xfId="0" applyFont="1" applyBorder="1" applyAlignment="1"/>
    <xf numFmtId="0" fontId="33" fillId="0" borderId="0" xfId="0" applyFont="1" applyBorder="1" applyAlignment="1">
      <alignment horizontal="left"/>
    </xf>
    <xf numFmtId="0" fontId="34" fillId="0" borderId="0" xfId="0" applyFont="1"/>
    <xf numFmtId="177" fontId="25" fillId="0" borderId="12" xfId="0" applyNumberFormat="1" applyFont="1" applyBorder="1" applyAlignment="1">
      <alignment horizontal="center" vertical="center" wrapText="1"/>
    </xf>
    <xf numFmtId="177" fontId="25" fillId="0" borderId="1" xfId="0" applyNumberFormat="1" applyFont="1" applyBorder="1" applyAlignment="1">
      <alignment horizontal="center" vertical="center" wrapText="1"/>
    </xf>
    <xf numFmtId="178" fontId="14" fillId="0" borderId="0" xfId="1" applyNumberFormat="1" applyFont="1"/>
    <xf numFmtId="168" fontId="14" fillId="0" borderId="0" xfId="1" applyNumberFormat="1" applyFont="1"/>
    <xf numFmtId="3" fontId="25" fillId="0" borderId="1" xfId="0" applyNumberFormat="1" applyFont="1" applyBorder="1" applyAlignment="1"/>
    <xf numFmtId="3" fontId="25" fillId="0" borderId="0" xfId="0" applyNumberFormat="1" applyFont="1" applyBorder="1" applyAlignment="1">
      <alignment horizontal="right"/>
    </xf>
    <xf numFmtId="0" fontId="17" fillId="0" borderId="8" xfId="0" applyFont="1" applyBorder="1" applyAlignment="1">
      <alignment horizontal="center"/>
    </xf>
    <xf numFmtId="3" fontId="17" fillId="0" borderId="8" xfId="0" applyNumberFormat="1" applyFont="1" applyBorder="1" applyAlignment="1">
      <alignment horizontal="right"/>
    </xf>
    <xf numFmtId="0" fontId="35" fillId="0" borderId="0" xfId="0" applyFont="1" applyBorder="1" applyAlignment="1">
      <alignment vertical="top" wrapText="1"/>
    </xf>
    <xf numFmtId="0" fontId="35" fillId="0" borderId="5" xfId="0" applyFont="1" applyBorder="1" applyAlignment="1">
      <alignment vertical="top" wrapText="1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0" xfId="0" applyFont="1" applyBorder="1" applyAlignment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18" xfId="0" applyFont="1" applyFill="1" applyBorder="1" applyAlignment="1">
      <alignment horizontal="left"/>
    </xf>
    <xf numFmtId="0" fontId="16" fillId="0" borderId="19" xfId="0" applyFont="1" applyBorder="1"/>
    <xf numFmtId="0" fontId="16" fillId="0" borderId="0" xfId="0" applyFont="1" applyBorder="1"/>
    <xf numFmtId="0" fontId="18" fillId="0" borderId="10" xfId="0" applyFont="1" applyBorder="1" applyAlignment="1"/>
    <xf numFmtId="0" fontId="34" fillId="0" borderId="4" xfId="0" applyFont="1" applyBorder="1"/>
    <xf numFmtId="0" fontId="17" fillId="0" borderId="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34" fillId="0" borderId="5" xfId="0" applyFont="1" applyBorder="1"/>
    <xf numFmtId="0" fontId="34" fillId="0" borderId="0" xfId="0" applyFont="1" applyBorder="1"/>
    <xf numFmtId="0" fontId="28" fillId="0" borderId="0" xfId="0" applyFont="1" applyBorder="1"/>
    <xf numFmtId="0" fontId="28" fillId="0" borderId="0" xfId="0" applyFont="1"/>
    <xf numFmtId="0" fontId="25" fillId="0" borderId="15" xfId="0" applyFont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3" fontId="25" fillId="0" borderId="15" xfId="0" applyNumberFormat="1" applyFont="1" applyBorder="1" applyAlignment="1">
      <alignment horizontal="right" vertical="center" wrapText="1"/>
    </xf>
    <xf numFmtId="3" fontId="27" fillId="0" borderId="1" xfId="0" applyNumberFormat="1" applyFont="1" applyBorder="1" applyAlignment="1"/>
    <xf numFmtId="0" fontId="35" fillId="0" borderId="0" xfId="0" applyFont="1" applyBorder="1" applyAlignment="1">
      <alignment wrapText="1"/>
    </xf>
    <xf numFmtId="0" fontId="35" fillId="0" borderId="5" xfId="0" applyFont="1" applyBorder="1" applyAlignment="1">
      <alignment wrapText="1"/>
    </xf>
    <xf numFmtId="0" fontId="8" fillId="2" borderId="14" xfId="0" applyFont="1" applyFill="1" applyBorder="1" applyAlignment="1">
      <alignment vertical="center" wrapText="1"/>
    </xf>
    <xf numFmtId="0" fontId="12" fillId="2" borderId="0" xfId="0" applyFont="1" applyFill="1" applyBorder="1" applyAlignment="1"/>
    <xf numFmtId="0" fontId="3" fillId="2" borderId="0" xfId="0" applyFont="1" applyFill="1" applyAlignment="1"/>
    <xf numFmtId="179" fontId="10" fillId="2" borderId="1" xfId="0" applyNumberFormat="1" applyFont="1" applyFill="1" applyBorder="1" applyAlignment="1">
      <alignment vertical="center"/>
    </xf>
    <xf numFmtId="180" fontId="10" fillId="2" borderId="1" xfId="1" applyNumberFormat="1" applyFont="1" applyFill="1" applyBorder="1" applyAlignment="1">
      <alignment vertical="center"/>
    </xf>
    <xf numFmtId="180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6" fillId="0" borderId="16" xfId="0" applyFont="1" applyBorder="1" applyAlignment="1">
      <alignment horizontal="left"/>
    </xf>
    <xf numFmtId="164" fontId="10" fillId="2" borderId="1" xfId="1" applyNumberFormat="1" applyFont="1" applyFill="1" applyBorder="1" applyAlignment="1">
      <alignment vertical="center"/>
    </xf>
    <xf numFmtId="181" fontId="10" fillId="2" borderId="1" xfId="1" applyNumberFormat="1" applyFont="1" applyFill="1" applyBorder="1" applyAlignment="1">
      <alignment horizontal="right" vertical="center"/>
    </xf>
    <xf numFmtId="173" fontId="40" fillId="0" borderId="0" xfId="1" applyNumberFormat="1" applyFont="1"/>
    <xf numFmtId="0" fontId="23" fillId="0" borderId="10" xfId="0" applyFont="1" applyBorder="1" applyAlignment="1">
      <alignment horizontal="center"/>
    </xf>
    <xf numFmtId="0" fontId="4" fillId="0" borderId="0" xfId="0" applyFont="1" applyBorder="1"/>
    <xf numFmtId="0" fontId="23" fillId="0" borderId="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65" fontId="5" fillId="0" borderId="10" xfId="1" applyNumberFormat="1" applyFont="1" applyBorder="1" applyAlignment="1">
      <alignment horizontal="center"/>
    </xf>
    <xf numFmtId="165" fontId="41" fillId="0" borderId="0" xfId="1" applyNumberFormat="1" applyFont="1"/>
    <xf numFmtId="165" fontId="4" fillId="0" borderId="0" xfId="1" applyNumberFormat="1" applyFont="1"/>
    <xf numFmtId="0" fontId="42" fillId="0" borderId="0" xfId="0" applyFont="1"/>
    <xf numFmtId="165" fontId="42" fillId="0" borderId="0" xfId="1" applyNumberFormat="1" applyFont="1"/>
    <xf numFmtId="165" fontId="5" fillId="0" borderId="1" xfId="0" applyNumberFormat="1" applyFont="1" applyBorder="1"/>
    <xf numFmtId="0" fontId="18" fillId="0" borderId="0" xfId="0" applyFont="1" applyBorder="1" applyAlignment="1">
      <alignment horizontal="center"/>
    </xf>
    <xf numFmtId="165" fontId="43" fillId="0" borderId="1" xfId="1" applyNumberFormat="1" applyFont="1" applyBorder="1"/>
    <xf numFmtId="49" fontId="24" fillId="0" borderId="1" xfId="0" applyNumberFormat="1" applyFont="1" applyFill="1" applyBorder="1" applyAlignment="1">
      <alignment horizontal="center" wrapText="1"/>
    </xf>
    <xf numFmtId="3" fontId="25" fillId="0" borderId="1" xfId="0" applyNumberFormat="1" applyFont="1" applyBorder="1" applyAlignment="1">
      <alignment horizontal="right" wrapText="1"/>
    </xf>
    <xf numFmtId="0" fontId="25" fillId="0" borderId="1" xfId="0" quotePrefix="1" applyFont="1" applyBorder="1" applyAlignment="1">
      <alignment horizontal="center" wrapText="1"/>
    </xf>
    <xf numFmtId="0" fontId="44" fillId="0" borderId="0" xfId="0" applyFont="1" applyBorder="1" applyAlignment="1">
      <alignment horizontal="left"/>
    </xf>
    <xf numFmtId="182" fontId="14" fillId="0" borderId="0" xfId="0" applyNumberFormat="1" applyFont="1"/>
    <xf numFmtId="0" fontId="29" fillId="0" borderId="0" xfId="0" applyFont="1"/>
    <xf numFmtId="0" fontId="43" fillId="0" borderId="0" xfId="0" applyFont="1"/>
    <xf numFmtId="3" fontId="34" fillId="0" borderId="0" xfId="0" applyNumberFormat="1" applyFont="1"/>
    <xf numFmtId="0" fontId="23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9" fillId="0" borderId="0" xfId="0" applyFont="1" applyBorder="1" applyAlignment="1">
      <alignment vertical="top" wrapText="1"/>
    </xf>
    <xf numFmtId="0" fontId="39" fillId="0" borderId="5" xfId="0" applyFont="1" applyBorder="1" applyAlignment="1">
      <alignment vertical="top" wrapText="1"/>
    </xf>
    <xf numFmtId="0" fontId="27" fillId="0" borderId="0" xfId="0" applyFont="1" applyBorder="1" applyAlignment="1">
      <alignment horizontal="left"/>
    </xf>
    <xf numFmtId="0" fontId="45" fillId="0" borderId="0" xfId="0" applyFont="1" applyBorder="1" applyAlignment="1"/>
    <xf numFmtId="0" fontId="45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45" fillId="0" borderId="0" xfId="0" applyFont="1"/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wrapText="1"/>
    </xf>
    <xf numFmtId="49" fontId="24" fillId="3" borderId="1" xfId="0" applyNumberFormat="1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center" wrapText="1"/>
    </xf>
    <xf numFmtId="0" fontId="25" fillId="3" borderId="1" xfId="0" quotePrefix="1" applyFont="1" applyFill="1" applyBorder="1" applyAlignment="1">
      <alignment horizontal="center" wrapText="1"/>
    </xf>
    <xf numFmtId="3" fontId="25" fillId="3" borderId="1" xfId="0" applyNumberFormat="1" applyFont="1" applyFill="1" applyBorder="1" applyAlignment="1">
      <alignment horizontal="right" wrapText="1"/>
    </xf>
    <xf numFmtId="49" fontId="26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right"/>
    </xf>
    <xf numFmtId="49" fontId="24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0" fontId="43" fillId="0" borderId="1" xfId="0" applyFont="1" applyBorder="1"/>
    <xf numFmtId="180" fontId="46" fillId="0" borderId="1" xfId="1" applyNumberFormat="1" applyFont="1" applyBorder="1"/>
    <xf numFmtId="180" fontId="43" fillId="0" borderId="1" xfId="0" applyNumberFormat="1" applyFont="1" applyBorder="1"/>
    <xf numFmtId="0" fontId="47" fillId="0" borderId="0" xfId="0" applyFont="1"/>
    <xf numFmtId="165" fontId="8" fillId="2" borderId="0" xfId="1" applyNumberFormat="1" applyFont="1" applyFill="1" applyBorder="1"/>
    <xf numFmtId="43" fontId="8" fillId="2" borderId="0" xfId="1" applyNumberFormat="1" applyFont="1" applyFill="1" applyBorder="1"/>
    <xf numFmtId="165" fontId="41" fillId="0" borderId="0" xfId="0" applyNumberFormat="1" applyFont="1"/>
    <xf numFmtId="165" fontId="34" fillId="0" borderId="0" xfId="1" applyNumberFormat="1" applyFont="1"/>
    <xf numFmtId="165" fontId="8" fillId="2" borderId="1" xfId="1" applyNumberFormat="1" applyFont="1" applyFill="1" applyBorder="1"/>
    <xf numFmtId="0" fontId="41" fillId="0" borderId="0" xfId="0" applyFont="1"/>
    <xf numFmtId="0" fontId="46" fillId="0" borderId="1" xfId="0" applyFont="1" applyBorder="1"/>
    <xf numFmtId="165" fontId="46" fillId="0" borderId="1" xfId="1" applyNumberFormat="1" applyFont="1" applyBorder="1"/>
    <xf numFmtId="165" fontId="46" fillId="0" borderId="1" xfId="0" applyNumberFormat="1" applyFont="1" applyBorder="1"/>
    <xf numFmtId="164" fontId="46" fillId="0" borderId="0" xfId="1" applyNumberFormat="1" applyFont="1"/>
    <xf numFmtId="0" fontId="46" fillId="0" borderId="0" xfId="0" applyFont="1"/>
    <xf numFmtId="2" fontId="46" fillId="0" borderId="1" xfId="0" applyNumberFormat="1" applyFont="1" applyBorder="1"/>
    <xf numFmtId="0" fontId="46" fillId="0" borderId="1" xfId="0" quotePrefix="1" applyFont="1" applyBorder="1"/>
    <xf numFmtId="0" fontId="46" fillId="0" borderId="0" xfId="0" applyFont="1" applyAlignment="1">
      <alignment horizontal="center"/>
    </xf>
    <xf numFmtId="0" fontId="46" fillId="0" borderId="1" xfId="0" applyFont="1" applyBorder="1" applyAlignment="1">
      <alignment horizontal="left" wrapText="1"/>
    </xf>
    <xf numFmtId="0" fontId="46" fillId="0" borderId="1" xfId="0" applyFont="1" applyBorder="1" applyAlignment="1">
      <alignment horizontal="center" wrapText="1"/>
    </xf>
    <xf numFmtId="0" fontId="46" fillId="0" borderId="12" xfId="0" applyFont="1" applyBorder="1" applyAlignment="1">
      <alignment horizontal="center" wrapText="1"/>
    </xf>
    <xf numFmtId="0" fontId="49" fillId="0" borderId="0" xfId="0" applyFont="1" applyAlignment="1">
      <alignment horizontal="center"/>
    </xf>
    <xf numFmtId="0" fontId="49" fillId="0" borderId="1" xfId="0" applyFont="1" applyBorder="1" applyAlignment="1">
      <alignment horizontal="center" wrapText="1"/>
    </xf>
    <xf numFmtId="0" fontId="49" fillId="0" borderId="12" xfId="0" applyFont="1" applyBorder="1" applyAlignment="1">
      <alignment horizontal="center" wrapText="1"/>
    </xf>
    <xf numFmtId="0" fontId="49" fillId="0" borderId="1" xfId="0" applyFont="1" applyBorder="1"/>
    <xf numFmtId="166" fontId="49" fillId="0" borderId="1" xfId="0" applyNumberFormat="1" applyFont="1" applyBorder="1"/>
    <xf numFmtId="165" fontId="49" fillId="0" borderId="1" xfId="1" applyNumberFormat="1" applyFont="1" applyBorder="1"/>
    <xf numFmtId="165" fontId="49" fillId="0" borderId="1" xfId="0" applyNumberFormat="1" applyFont="1" applyBorder="1"/>
    <xf numFmtId="0" fontId="49" fillId="0" borderId="0" xfId="0" applyFont="1"/>
    <xf numFmtId="2" fontId="49" fillId="0" borderId="1" xfId="0" applyNumberFormat="1" applyFont="1" applyBorder="1"/>
    <xf numFmtId="0" fontId="49" fillId="0" borderId="9" xfId="0" applyFont="1" applyBorder="1"/>
    <xf numFmtId="0" fontId="1" fillId="0" borderId="0" xfId="0" applyFont="1"/>
    <xf numFmtId="165" fontId="1" fillId="0" borderId="0" xfId="0" applyNumberFormat="1" applyFont="1"/>
    <xf numFmtId="0" fontId="46" fillId="0" borderId="1" xfId="0" applyFont="1" applyBorder="1" applyAlignment="1">
      <alignment wrapText="1"/>
    </xf>
    <xf numFmtId="165" fontId="10" fillId="2" borderId="1" xfId="1" applyNumberFormat="1" applyFont="1" applyFill="1" applyBorder="1" applyAlignment="1">
      <alignment horizontal="right" vertical="center"/>
    </xf>
    <xf numFmtId="43" fontId="14" fillId="0" borderId="0" xfId="1" applyFont="1"/>
    <xf numFmtId="2" fontId="43" fillId="0" borderId="1" xfId="0" applyNumberFormat="1" applyFont="1" applyBorder="1"/>
    <xf numFmtId="180" fontId="43" fillId="0" borderId="1" xfId="1" applyNumberFormat="1" applyFont="1" applyBorder="1"/>
    <xf numFmtId="165" fontId="43" fillId="0" borderId="1" xfId="0" applyNumberFormat="1" applyFont="1" applyBorder="1"/>
    <xf numFmtId="164" fontId="43" fillId="0" borderId="0" xfId="1" applyNumberFormat="1" applyFont="1"/>
    <xf numFmtId="0" fontId="5" fillId="0" borderId="9" xfId="0" applyFont="1" applyBorder="1"/>
    <xf numFmtId="166" fontId="5" fillId="0" borderId="1" xfId="0" applyNumberFormat="1" applyFont="1" applyBorder="1"/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167" fontId="8" fillId="2" borderId="12" xfId="0" applyNumberFormat="1" applyFont="1" applyFill="1" applyBorder="1" applyAlignment="1">
      <alignment horizontal="center" vertical="center" wrapText="1"/>
    </xf>
    <xf numFmtId="167" fontId="8" fillId="2" borderId="13" xfId="0" applyNumberFormat="1" applyFont="1" applyFill="1" applyBorder="1" applyAlignment="1">
      <alignment horizontal="center" vertical="center" wrapText="1"/>
    </xf>
    <xf numFmtId="167" fontId="11" fillId="2" borderId="12" xfId="0" applyNumberFormat="1" applyFont="1" applyFill="1" applyBorder="1" applyAlignment="1">
      <alignment horizontal="center" vertical="center" wrapText="1"/>
    </xf>
    <xf numFmtId="167" fontId="11" fillId="2" borderId="13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2" fontId="8" fillId="2" borderId="1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3" xfId="0" applyNumberFormat="1" applyFont="1" applyFill="1" applyBorder="1" applyAlignment="1">
      <alignment horizontal="center" vertical="center" wrapText="1"/>
    </xf>
    <xf numFmtId="3" fontId="22" fillId="2" borderId="12" xfId="0" applyNumberFormat="1" applyFont="1" applyFill="1" applyBorder="1" applyAlignment="1">
      <alignment horizontal="center" vertical="center" wrapText="1"/>
    </xf>
    <xf numFmtId="3" fontId="22" fillId="2" borderId="13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3" fontId="21" fillId="2" borderId="12" xfId="0" applyNumberFormat="1" applyFont="1" applyFill="1" applyBorder="1" applyAlignment="1">
      <alignment horizontal="center" vertical="center" wrapText="1"/>
    </xf>
    <xf numFmtId="3" fontId="21" fillId="2" borderId="14" xfId="0" applyNumberFormat="1" applyFont="1" applyFill="1" applyBorder="1" applyAlignment="1">
      <alignment horizontal="center" vertical="center" wrapText="1"/>
    </xf>
    <xf numFmtId="3" fontId="21" fillId="2" borderId="13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12" xfId="0" applyFont="1" applyBorder="1" applyAlignment="1">
      <alignment horizontal="center" wrapText="1"/>
    </xf>
    <xf numFmtId="0" fontId="46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0" fontId="46" fillId="0" borderId="11" xfId="0" applyFont="1" applyBorder="1" applyAlignment="1">
      <alignment horizontal="center"/>
    </xf>
    <xf numFmtId="0" fontId="46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1" xfId="0" applyFont="1" applyBorder="1" applyAlignment="1">
      <alignment horizontal="center" wrapText="1"/>
    </xf>
    <xf numFmtId="0" fontId="49" fillId="0" borderId="12" xfId="0" applyFont="1" applyBorder="1" applyAlignment="1">
      <alignment horizontal="center"/>
    </xf>
    <xf numFmtId="0" fontId="49" fillId="0" borderId="13" xfId="0" applyFont="1" applyBorder="1" applyAlignment="1">
      <alignment horizontal="center"/>
    </xf>
    <xf numFmtId="0" fontId="49" fillId="0" borderId="12" xfId="0" applyFont="1" applyBorder="1" applyAlignment="1">
      <alignment horizontal="center" wrapText="1"/>
    </xf>
    <xf numFmtId="0" fontId="49" fillId="0" borderId="13" xfId="0" applyFont="1" applyBorder="1" applyAlignment="1">
      <alignment horizontal="center" wrapText="1"/>
    </xf>
    <xf numFmtId="0" fontId="49" fillId="0" borderId="7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0" fontId="49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77" fontId="25" fillId="0" borderId="7" xfId="0" applyNumberFormat="1" applyFont="1" applyBorder="1" applyAlignment="1">
      <alignment horizontal="center" vertical="center"/>
    </xf>
    <xf numFmtId="177" fontId="25" fillId="0" borderId="11" xfId="0" applyNumberFormat="1" applyFont="1" applyBorder="1" applyAlignment="1">
      <alignment horizontal="center" vertical="center"/>
    </xf>
    <xf numFmtId="177" fontId="25" fillId="0" borderId="9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wrapText="1"/>
    </xf>
    <xf numFmtId="0" fontId="25" fillId="0" borderId="7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44" fillId="0" borderId="0" xfId="0" applyFont="1" applyBorder="1" applyAlignment="1">
      <alignment horizontal="left" shrinkToFit="1"/>
    </xf>
    <xf numFmtId="0" fontId="44" fillId="0" borderId="5" xfId="0" applyFont="1" applyBorder="1" applyAlignment="1">
      <alignment horizontal="left" shrinkToFit="1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5" fillId="0" borderId="7" xfId="0" applyFont="1" applyBorder="1" applyAlignment="1">
      <alignment horizontal="left" wrapText="1"/>
    </xf>
    <xf numFmtId="0" fontId="25" fillId="0" borderId="11" xfId="0" applyFont="1" applyBorder="1" applyAlignment="1">
      <alignment horizontal="left" wrapText="1"/>
    </xf>
    <xf numFmtId="0" fontId="25" fillId="0" borderId="9" xfId="0" applyFont="1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shrinkToFit="1"/>
    </xf>
    <xf numFmtId="0" fontId="34" fillId="0" borderId="0" xfId="0" applyFont="1" applyBorder="1" applyAlignment="1">
      <alignment horizontal="center" shrinkToFit="1"/>
    </xf>
    <xf numFmtId="0" fontId="34" fillId="0" borderId="4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25" fillId="3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left"/>
    </xf>
    <xf numFmtId="0" fontId="44" fillId="0" borderId="0" xfId="0" applyFont="1" applyBorder="1" applyAlignment="1">
      <alignment horizontal="left" wrapText="1"/>
    </xf>
    <xf numFmtId="0" fontId="25" fillId="0" borderId="1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8</xdr:row>
      <xdr:rowOff>171450</xdr:rowOff>
    </xdr:from>
    <xdr:ext cx="76200" cy="22860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14450" y="20955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9</xdr:row>
      <xdr:rowOff>171450</xdr:rowOff>
    </xdr:from>
    <xdr:ext cx="76200" cy="228600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314450" y="24003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8</xdr:row>
      <xdr:rowOff>171450</xdr:rowOff>
    </xdr:from>
    <xdr:ext cx="76200" cy="228600"/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314450" y="20955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981075</xdr:colOff>
      <xdr:row>10</xdr:row>
      <xdr:rowOff>228600</xdr:rowOff>
    </xdr:from>
    <xdr:ext cx="76200" cy="228600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266825" y="30289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8</xdr:row>
      <xdr:rowOff>171450</xdr:rowOff>
    </xdr:from>
    <xdr:ext cx="76200" cy="228600"/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314450" y="20955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8</xdr:row>
      <xdr:rowOff>171450</xdr:rowOff>
    </xdr:from>
    <xdr:ext cx="76200" cy="228600"/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314450" y="20955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25</xdr:row>
      <xdr:rowOff>0</xdr:rowOff>
    </xdr:from>
    <xdr:ext cx="76200" cy="228600"/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857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1028700</xdr:colOff>
      <xdr:row>25</xdr:row>
      <xdr:rowOff>0</xdr:rowOff>
    </xdr:from>
    <xdr:ext cx="76200" cy="228600"/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314450" y="10420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9525</xdr:rowOff>
    </xdr:from>
    <xdr:to>
      <xdr:col>4</xdr:col>
      <xdr:colOff>714375</xdr:colOff>
      <xdr:row>2</xdr:row>
      <xdr:rowOff>142875</xdr:rowOff>
    </xdr:to>
    <xdr:sp macro="" textlink="">
      <xdr:nvSpPr>
        <xdr:cNvPr id="2" name="Rectangle 7"/>
        <xdr:cNvSpPr>
          <a:spLocks noChangeArrowheads="1"/>
        </xdr:cNvSpPr>
      </xdr:nvSpPr>
      <xdr:spPr bwMode="auto">
        <a:xfrm>
          <a:off x="4743450" y="542925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3</xdr:row>
      <xdr:rowOff>0</xdr:rowOff>
    </xdr:from>
    <xdr:to>
      <xdr:col>4</xdr:col>
      <xdr:colOff>714375</xdr:colOff>
      <xdr:row>3</xdr:row>
      <xdr:rowOff>133350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4743450" y="7239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4</xdr:row>
      <xdr:rowOff>0</xdr:rowOff>
    </xdr:from>
    <xdr:to>
      <xdr:col>4</xdr:col>
      <xdr:colOff>714375</xdr:colOff>
      <xdr:row>4</xdr:row>
      <xdr:rowOff>133350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4743450" y="9144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3</xdr:row>
      <xdr:rowOff>9525</xdr:rowOff>
    </xdr:from>
    <xdr:to>
      <xdr:col>6</xdr:col>
      <xdr:colOff>219075</xdr:colOff>
      <xdr:row>4</xdr:row>
      <xdr:rowOff>9525</xdr:rowOff>
    </xdr:to>
    <xdr:sp macro="" textlink="">
      <xdr:nvSpPr>
        <xdr:cNvPr id="5" name="Rectangle 11"/>
        <xdr:cNvSpPr>
          <a:spLocks noChangeArrowheads="1"/>
        </xdr:cNvSpPr>
      </xdr:nvSpPr>
      <xdr:spPr bwMode="auto">
        <a:xfrm>
          <a:off x="6200775" y="73342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19050</xdr:rowOff>
    </xdr:from>
    <xdr:to>
      <xdr:col>3</xdr:col>
      <xdr:colOff>190500</xdr:colOff>
      <xdr:row>3</xdr:row>
      <xdr:rowOff>0</xdr:rowOff>
    </xdr:to>
    <xdr:sp macro="" textlink="">
      <xdr:nvSpPr>
        <xdr:cNvPr id="6" name="Text Box 3756"/>
        <xdr:cNvSpPr txBox="1">
          <a:spLocks noChangeArrowheads="1"/>
        </xdr:cNvSpPr>
      </xdr:nvSpPr>
      <xdr:spPr bwMode="auto">
        <a:xfrm>
          <a:off x="3076575" y="55245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18639</xdr:colOff>
      <xdr:row>2</xdr:row>
      <xdr:rowOff>0</xdr:rowOff>
    </xdr:from>
    <xdr:to>
      <xdr:col>6</xdr:col>
      <xdr:colOff>209139</xdr:colOff>
      <xdr:row>2</xdr:row>
      <xdr:rowOff>171450</xdr:rowOff>
    </xdr:to>
    <xdr:sp macro="" textlink="">
      <xdr:nvSpPr>
        <xdr:cNvPr id="7" name="Text Box 3757"/>
        <xdr:cNvSpPr txBox="1">
          <a:spLocks noChangeArrowheads="1"/>
        </xdr:cNvSpPr>
      </xdr:nvSpPr>
      <xdr:spPr bwMode="auto">
        <a:xfrm>
          <a:off x="6200364" y="53340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19050</xdr:colOff>
      <xdr:row>4</xdr:row>
      <xdr:rowOff>28575</xdr:rowOff>
    </xdr:from>
    <xdr:to>
      <xdr:col>6</xdr:col>
      <xdr:colOff>219075</xdr:colOff>
      <xdr:row>6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6200775" y="94297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9525</xdr:rowOff>
    </xdr:from>
    <xdr:to>
      <xdr:col>4</xdr:col>
      <xdr:colOff>714375</xdr:colOff>
      <xdr:row>2</xdr:row>
      <xdr:rowOff>142875</xdr:rowOff>
    </xdr:to>
    <xdr:sp macro="" textlink="">
      <xdr:nvSpPr>
        <xdr:cNvPr id="2" name="Rectangle 7"/>
        <xdr:cNvSpPr>
          <a:spLocks noChangeArrowheads="1"/>
        </xdr:cNvSpPr>
      </xdr:nvSpPr>
      <xdr:spPr bwMode="auto">
        <a:xfrm>
          <a:off x="4743450" y="542925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3</xdr:row>
      <xdr:rowOff>0</xdr:rowOff>
    </xdr:from>
    <xdr:to>
      <xdr:col>4</xdr:col>
      <xdr:colOff>714375</xdr:colOff>
      <xdr:row>3</xdr:row>
      <xdr:rowOff>133350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4743450" y="7239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4</xdr:row>
      <xdr:rowOff>0</xdr:rowOff>
    </xdr:from>
    <xdr:to>
      <xdr:col>4</xdr:col>
      <xdr:colOff>714375</xdr:colOff>
      <xdr:row>4</xdr:row>
      <xdr:rowOff>133350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4743450" y="9144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3</xdr:row>
      <xdr:rowOff>9525</xdr:rowOff>
    </xdr:from>
    <xdr:to>
      <xdr:col>6</xdr:col>
      <xdr:colOff>219075</xdr:colOff>
      <xdr:row>4</xdr:row>
      <xdr:rowOff>9525</xdr:rowOff>
    </xdr:to>
    <xdr:sp macro="" textlink="">
      <xdr:nvSpPr>
        <xdr:cNvPr id="5" name="Rectangle 11"/>
        <xdr:cNvSpPr>
          <a:spLocks noChangeArrowheads="1"/>
        </xdr:cNvSpPr>
      </xdr:nvSpPr>
      <xdr:spPr bwMode="auto">
        <a:xfrm>
          <a:off x="6038850" y="73342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19050</xdr:rowOff>
    </xdr:from>
    <xdr:to>
      <xdr:col>3</xdr:col>
      <xdr:colOff>190500</xdr:colOff>
      <xdr:row>3</xdr:row>
      <xdr:rowOff>0</xdr:rowOff>
    </xdr:to>
    <xdr:sp macro="" textlink="">
      <xdr:nvSpPr>
        <xdr:cNvPr id="6" name="Text Box 3756"/>
        <xdr:cNvSpPr txBox="1">
          <a:spLocks noChangeArrowheads="1"/>
        </xdr:cNvSpPr>
      </xdr:nvSpPr>
      <xdr:spPr bwMode="auto">
        <a:xfrm>
          <a:off x="3076575" y="55245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18639</xdr:colOff>
      <xdr:row>2</xdr:row>
      <xdr:rowOff>0</xdr:rowOff>
    </xdr:from>
    <xdr:to>
      <xdr:col>6</xdr:col>
      <xdr:colOff>209139</xdr:colOff>
      <xdr:row>2</xdr:row>
      <xdr:rowOff>171450</xdr:rowOff>
    </xdr:to>
    <xdr:sp macro="" textlink="">
      <xdr:nvSpPr>
        <xdr:cNvPr id="7" name="Text Box 3757"/>
        <xdr:cNvSpPr txBox="1">
          <a:spLocks noChangeArrowheads="1"/>
        </xdr:cNvSpPr>
      </xdr:nvSpPr>
      <xdr:spPr bwMode="auto">
        <a:xfrm>
          <a:off x="6038439" y="53340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19050</xdr:colOff>
      <xdr:row>4</xdr:row>
      <xdr:rowOff>28575</xdr:rowOff>
    </xdr:from>
    <xdr:to>
      <xdr:col>6</xdr:col>
      <xdr:colOff>219075</xdr:colOff>
      <xdr:row>6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6038850" y="94297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9525</xdr:rowOff>
    </xdr:from>
    <xdr:to>
      <xdr:col>4</xdr:col>
      <xdr:colOff>714375</xdr:colOff>
      <xdr:row>2</xdr:row>
      <xdr:rowOff>142875</xdr:rowOff>
    </xdr:to>
    <xdr:sp macro="" textlink="">
      <xdr:nvSpPr>
        <xdr:cNvPr id="2" name="Rectangle 7"/>
        <xdr:cNvSpPr>
          <a:spLocks noChangeArrowheads="1"/>
        </xdr:cNvSpPr>
      </xdr:nvSpPr>
      <xdr:spPr bwMode="auto">
        <a:xfrm>
          <a:off x="4619625" y="542925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3</xdr:row>
      <xdr:rowOff>0</xdr:rowOff>
    </xdr:from>
    <xdr:to>
      <xdr:col>4</xdr:col>
      <xdr:colOff>714375</xdr:colOff>
      <xdr:row>3</xdr:row>
      <xdr:rowOff>133350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4619625" y="7239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4</xdr:row>
      <xdr:rowOff>0</xdr:rowOff>
    </xdr:from>
    <xdr:to>
      <xdr:col>4</xdr:col>
      <xdr:colOff>714375</xdr:colOff>
      <xdr:row>4</xdr:row>
      <xdr:rowOff>133350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4619625" y="9144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3</xdr:row>
      <xdr:rowOff>9525</xdr:rowOff>
    </xdr:from>
    <xdr:to>
      <xdr:col>6</xdr:col>
      <xdr:colOff>219075</xdr:colOff>
      <xdr:row>4</xdr:row>
      <xdr:rowOff>9525</xdr:rowOff>
    </xdr:to>
    <xdr:sp macro="" textlink="">
      <xdr:nvSpPr>
        <xdr:cNvPr id="5" name="Rectangle 11"/>
        <xdr:cNvSpPr>
          <a:spLocks noChangeArrowheads="1"/>
        </xdr:cNvSpPr>
      </xdr:nvSpPr>
      <xdr:spPr bwMode="auto">
        <a:xfrm>
          <a:off x="5915025" y="73342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19050</xdr:rowOff>
    </xdr:from>
    <xdr:to>
      <xdr:col>3</xdr:col>
      <xdr:colOff>190500</xdr:colOff>
      <xdr:row>3</xdr:row>
      <xdr:rowOff>0</xdr:rowOff>
    </xdr:to>
    <xdr:sp macro="" textlink="">
      <xdr:nvSpPr>
        <xdr:cNvPr id="6" name="Text Box 3756"/>
        <xdr:cNvSpPr txBox="1">
          <a:spLocks noChangeArrowheads="1"/>
        </xdr:cNvSpPr>
      </xdr:nvSpPr>
      <xdr:spPr bwMode="auto">
        <a:xfrm>
          <a:off x="3171825" y="55245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18639</xdr:colOff>
      <xdr:row>2</xdr:row>
      <xdr:rowOff>0</xdr:rowOff>
    </xdr:from>
    <xdr:to>
      <xdr:col>6</xdr:col>
      <xdr:colOff>209139</xdr:colOff>
      <xdr:row>2</xdr:row>
      <xdr:rowOff>171450</xdr:rowOff>
    </xdr:to>
    <xdr:sp macro="" textlink="">
      <xdr:nvSpPr>
        <xdr:cNvPr id="7" name="Text Box 3757"/>
        <xdr:cNvSpPr txBox="1">
          <a:spLocks noChangeArrowheads="1"/>
        </xdr:cNvSpPr>
      </xdr:nvSpPr>
      <xdr:spPr bwMode="auto">
        <a:xfrm>
          <a:off x="5914614" y="53340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19050</xdr:colOff>
      <xdr:row>4</xdr:row>
      <xdr:rowOff>28575</xdr:rowOff>
    </xdr:from>
    <xdr:to>
      <xdr:col>6</xdr:col>
      <xdr:colOff>219075</xdr:colOff>
      <xdr:row>6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5915025" y="94297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40"/>
  <sheetViews>
    <sheetView view="pageBreakPreview" topLeftCell="S19" workbookViewId="0">
      <selection activeCell="O29" sqref="O29:O30"/>
    </sheetView>
  </sheetViews>
  <sheetFormatPr defaultRowHeight="17.25"/>
  <cols>
    <col min="1" max="1" width="4.28515625" style="1" customWidth="1"/>
    <col min="2" max="2" width="26.28515625" style="1" customWidth="1"/>
    <col min="3" max="3" width="8.28515625" style="1" customWidth="1"/>
    <col min="4" max="4" width="9.140625" style="1"/>
    <col min="5" max="5" width="8.42578125" style="28" customWidth="1"/>
    <col min="6" max="6" width="7.140625" style="1" customWidth="1"/>
    <col min="7" max="7" width="6.7109375" style="1" customWidth="1"/>
    <col min="8" max="8" width="5.5703125" style="1" customWidth="1"/>
    <col min="9" max="9" width="7.42578125" style="1" customWidth="1"/>
    <col min="10" max="13" width="12.28515625" style="1" customWidth="1"/>
    <col min="14" max="14" width="7.28515625" style="1" customWidth="1"/>
    <col min="15" max="15" width="12.85546875" style="8" customWidth="1"/>
    <col min="16" max="16" width="7.5703125" style="8" customWidth="1"/>
    <col min="17" max="17" width="7" style="8" customWidth="1"/>
    <col min="18" max="18" width="13.28515625" style="8" customWidth="1"/>
    <col min="19" max="19" width="11.42578125" style="8" customWidth="1"/>
    <col min="20" max="20" width="12.7109375" style="8" customWidth="1"/>
    <col min="21" max="21" width="11.42578125" style="8" customWidth="1"/>
    <col min="22" max="22" width="15.7109375" style="8" customWidth="1"/>
    <col min="23" max="23" width="12" style="8" customWidth="1"/>
    <col min="24" max="24" width="13.7109375" style="1" customWidth="1"/>
    <col min="25" max="25" width="15" style="1" customWidth="1"/>
    <col min="26" max="26" width="14.28515625" style="1" customWidth="1"/>
    <col min="27" max="27" width="28.140625" style="1" customWidth="1"/>
    <col min="28" max="28" width="11.28515625" style="1" bestFit="1" customWidth="1"/>
    <col min="29" max="29" width="15.42578125" style="1" bestFit="1" customWidth="1"/>
    <col min="30" max="31" width="11.85546875" style="1" bestFit="1" customWidth="1"/>
    <col min="32" max="16384" width="9.140625" style="1"/>
  </cols>
  <sheetData>
    <row r="2" spans="1:31" ht="18">
      <c r="B2" s="2" t="s">
        <v>10</v>
      </c>
      <c r="E2" s="223" t="s">
        <v>11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</row>
    <row r="3" spans="1:31" ht="19.5">
      <c r="B3" s="27" t="s">
        <v>28</v>
      </c>
      <c r="C3" s="6"/>
      <c r="D3" s="6"/>
      <c r="E3" s="223" t="s">
        <v>12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</row>
    <row r="4" spans="1:31"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31" ht="27">
      <c r="B5" s="29"/>
      <c r="C5" s="29"/>
      <c r="D5" s="29"/>
      <c r="E5" s="224" t="s">
        <v>214</v>
      </c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9"/>
      <c r="AA5" s="29"/>
    </row>
    <row r="6" spans="1:31" ht="18" customHeight="1">
      <c r="A6" s="7"/>
      <c r="B6" s="129"/>
      <c r="C6" s="129"/>
      <c r="D6" s="129"/>
      <c r="E6" s="30"/>
      <c r="O6" s="225" t="s">
        <v>29</v>
      </c>
      <c r="P6" s="225"/>
      <c r="Q6" s="230">
        <v>1390000</v>
      </c>
      <c r="R6" s="230"/>
    </row>
    <row r="7" spans="1:31" s="9" customFormat="1" ht="17.25" customHeight="1">
      <c r="A7" s="247" t="s">
        <v>0</v>
      </c>
      <c r="B7" s="248" t="s">
        <v>13</v>
      </c>
      <c r="C7" s="249" t="s">
        <v>1</v>
      </c>
      <c r="D7" s="249" t="s">
        <v>14</v>
      </c>
      <c r="E7" s="226" t="s">
        <v>30</v>
      </c>
      <c r="F7" s="227"/>
      <c r="G7" s="227"/>
      <c r="H7" s="227"/>
      <c r="I7" s="227"/>
      <c r="J7" s="227"/>
      <c r="K7" s="227"/>
      <c r="L7" s="227"/>
      <c r="M7" s="227"/>
      <c r="N7" s="228"/>
      <c r="O7" s="229" t="s">
        <v>31</v>
      </c>
      <c r="P7" s="229"/>
      <c r="Q7" s="229"/>
      <c r="R7" s="229"/>
      <c r="S7" s="229"/>
      <c r="T7" s="229"/>
      <c r="U7" s="229"/>
      <c r="V7" s="229"/>
      <c r="W7" s="261" t="s">
        <v>74</v>
      </c>
      <c r="X7" s="261" t="s">
        <v>15</v>
      </c>
      <c r="Y7" s="262" t="s">
        <v>83</v>
      </c>
      <c r="Z7" s="261" t="s">
        <v>16</v>
      </c>
      <c r="AA7" s="265" t="s">
        <v>32</v>
      </c>
      <c r="AC7" s="221"/>
      <c r="AE7" s="9" t="s">
        <v>33</v>
      </c>
    </row>
    <row r="8" spans="1:31" s="9" customFormat="1" ht="17.25" customHeight="1">
      <c r="A8" s="247"/>
      <c r="B8" s="248"/>
      <c r="C8" s="250"/>
      <c r="D8" s="250"/>
      <c r="E8" s="239" t="s">
        <v>48</v>
      </c>
      <c r="F8" s="241" t="s">
        <v>136</v>
      </c>
      <c r="G8" s="243" t="s">
        <v>80</v>
      </c>
      <c r="H8" s="245" t="s">
        <v>49</v>
      </c>
      <c r="I8" s="235" t="s">
        <v>50</v>
      </c>
      <c r="J8" s="247" t="s">
        <v>137</v>
      </c>
      <c r="K8" s="247"/>
      <c r="L8" s="247"/>
      <c r="M8" s="235" t="s">
        <v>82</v>
      </c>
      <c r="N8" s="235" t="s">
        <v>34</v>
      </c>
      <c r="O8" s="237" t="s">
        <v>72</v>
      </c>
      <c r="P8" s="257" t="s">
        <v>81</v>
      </c>
      <c r="Q8" s="257" t="s">
        <v>35</v>
      </c>
      <c r="R8" s="259" t="s">
        <v>66</v>
      </c>
      <c r="S8" s="255" t="s">
        <v>4</v>
      </c>
      <c r="T8" s="255" t="s">
        <v>5</v>
      </c>
      <c r="U8" s="255" t="s">
        <v>2</v>
      </c>
      <c r="V8" s="255" t="s">
        <v>3</v>
      </c>
      <c r="W8" s="261"/>
      <c r="X8" s="261"/>
      <c r="Y8" s="263"/>
      <c r="Z8" s="261"/>
      <c r="AA8" s="266"/>
      <c r="AC8" s="222"/>
    </row>
    <row r="9" spans="1:31" s="9" customFormat="1" ht="24" customHeight="1">
      <c r="A9" s="247"/>
      <c r="B9" s="248"/>
      <c r="C9" s="251"/>
      <c r="D9" s="251"/>
      <c r="E9" s="240"/>
      <c r="F9" s="242"/>
      <c r="G9" s="244"/>
      <c r="H9" s="246"/>
      <c r="I9" s="236"/>
      <c r="J9" s="123" t="s">
        <v>138</v>
      </c>
      <c r="K9" s="130" t="s">
        <v>139</v>
      </c>
      <c r="L9" s="130" t="s">
        <v>140</v>
      </c>
      <c r="M9" s="236"/>
      <c r="N9" s="236"/>
      <c r="O9" s="238"/>
      <c r="P9" s="258"/>
      <c r="Q9" s="258"/>
      <c r="R9" s="260"/>
      <c r="S9" s="256"/>
      <c r="T9" s="256"/>
      <c r="U9" s="256"/>
      <c r="V9" s="256"/>
      <c r="W9" s="261"/>
      <c r="X9" s="261"/>
      <c r="Y9" s="264"/>
      <c r="Z9" s="261"/>
      <c r="AA9" s="267"/>
      <c r="AC9" s="222"/>
      <c r="AD9" s="31"/>
    </row>
    <row r="10" spans="1:31" ht="45" customHeight="1">
      <c r="A10" s="32">
        <v>1</v>
      </c>
      <c r="B10" s="33" t="s">
        <v>46</v>
      </c>
      <c r="C10" s="62" t="s">
        <v>47</v>
      </c>
      <c r="D10" s="70" t="s">
        <v>69</v>
      </c>
      <c r="E10" s="10">
        <v>4.9800000000000004</v>
      </c>
      <c r="F10" s="34"/>
      <c r="G10" s="33"/>
      <c r="H10" s="37">
        <v>0.5</v>
      </c>
      <c r="I10" s="36"/>
      <c r="J10" s="127">
        <f>E10*0</f>
        <v>0</v>
      </c>
      <c r="K10" s="128">
        <f>(E10+F10+H10+J10)*29%</f>
        <v>1.5891999999999999</v>
      </c>
      <c r="L10" s="128">
        <f>J10+K10</f>
        <v>1.5891999999999999</v>
      </c>
      <c r="M10" s="35">
        <f>(E10+H10)*50%</f>
        <v>2.74</v>
      </c>
      <c r="N10" s="37">
        <v>0.2</v>
      </c>
      <c r="O10" s="38">
        <f>E10*1490000</f>
        <v>7420200.0000000009</v>
      </c>
      <c r="P10" s="135">
        <f t="shared" ref="P10:Q25" si="0">F10*1390000</f>
        <v>0</v>
      </c>
      <c r="Q10" s="135">
        <f t="shared" si="0"/>
        <v>0</v>
      </c>
      <c r="R10" s="69">
        <f>H10*1490000</f>
        <v>745000</v>
      </c>
      <c r="S10" s="38">
        <f>N10*1490000</f>
        <v>298000</v>
      </c>
      <c r="T10" s="38">
        <f>M10*1490000</f>
        <v>4082600.0000000005</v>
      </c>
      <c r="U10" s="136">
        <f>I10*1490000</f>
        <v>0</v>
      </c>
      <c r="V10" s="69">
        <f>L10*1490000</f>
        <v>2367908</v>
      </c>
      <c r="W10" s="40">
        <f>(O10+P10+R10+V10)*22.5%</f>
        <v>2369949.3000000003</v>
      </c>
      <c r="X10" s="40">
        <f>SUM(O10:W10)</f>
        <v>17283657.300000001</v>
      </c>
      <c r="Y10" s="40">
        <f>(O10+P10+R10+V10)*9.5%</f>
        <v>1000645.26</v>
      </c>
      <c r="Z10" s="41">
        <f>O10+P10+Q10+R10+S10+T10+U10+V10-Y10</f>
        <v>13913062.74</v>
      </c>
      <c r="AA10" s="41"/>
      <c r="AB10" s="42"/>
      <c r="AC10" s="43">
        <f>O10/30</f>
        <v>247340.00000000003</v>
      </c>
      <c r="AD10" s="23">
        <v>187500</v>
      </c>
      <c r="AE10" s="23">
        <f>AC10*2</f>
        <v>494680.00000000006</v>
      </c>
    </row>
    <row r="11" spans="1:31" ht="37.5" customHeight="1">
      <c r="A11" s="32">
        <v>2</v>
      </c>
      <c r="B11" s="33" t="s">
        <v>205</v>
      </c>
      <c r="C11" s="62" t="s">
        <v>51</v>
      </c>
      <c r="D11" s="71" t="s">
        <v>69</v>
      </c>
      <c r="E11" s="10">
        <v>3.99</v>
      </c>
      <c r="F11" s="34"/>
      <c r="G11" s="33"/>
      <c r="H11" s="37">
        <v>0.35</v>
      </c>
      <c r="I11" s="36"/>
      <c r="J11" s="127">
        <f t="shared" ref="J11:J25" si="1">E11*0</f>
        <v>0</v>
      </c>
      <c r="K11" s="128">
        <f>(E11+F11+H11+J11)*18%</f>
        <v>0.78119999999999989</v>
      </c>
      <c r="L11" s="128">
        <f t="shared" ref="L11:L25" si="2">J11+K11</f>
        <v>0.78119999999999989</v>
      </c>
      <c r="M11" s="35">
        <f>(E11+H11)*50%</f>
        <v>2.17</v>
      </c>
      <c r="N11" s="37">
        <v>0.2</v>
      </c>
      <c r="O11" s="38">
        <f t="shared" ref="O11:O25" si="3">E11*1490000</f>
        <v>5945100</v>
      </c>
      <c r="P11" s="135">
        <f t="shared" si="0"/>
        <v>0</v>
      </c>
      <c r="Q11" s="135">
        <f t="shared" si="0"/>
        <v>0</v>
      </c>
      <c r="R11" s="69">
        <f t="shared" ref="R11:R27" si="4">H11*1490000</f>
        <v>521499.99999999994</v>
      </c>
      <c r="S11" s="38">
        <f t="shared" ref="S11:S25" si="5">N11*1490000</f>
        <v>298000</v>
      </c>
      <c r="T11" s="38">
        <f t="shared" ref="T11:T25" si="6">M11*1490000</f>
        <v>3233300</v>
      </c>
      <c r="U11" s="136">
        <f t="shared" ref="U11:U25" si="7">I11*1490000</f>
        <v>0</v>
      </c>
      <c r="V11" s="69">
        <f t="shared" ref="V11:V25" si="8">L11*1490000</f>
        <v>1163987.9999999998</v>
      </c>
      <c r="W11" s="40">
        <f>(O11+P11+R11+V11)*23.5%</f>
        <v>1793188.18</v>
      </c>
      <c r="X11" s="40">
        <f t="shared" ref="X11:X25" si="9">SUM(O11:W11)</f>
        <v>12955076.18</v>
      </c>
      <c r="Y11" s="40">
        <f>(O11+P11+R11+V11)*10.5%</f>
        <v>801211.74</v>
      </c>
      <c r="Z11" s="41">
        <f t="shared" ref="Z11:Z25" si="10">O11+P11+Q11+R11+S11+T11+U11+V11-Y11</f>
        <v>10360676.26</v>
      </c>
      <c r="AA11" s="41"/>
      <c r="AB11" s="42"/>
      <c r="AC11" s="43">
        <f t="shared" ref="AC11:AC25" si="11">O11/30</f>
        <v>198170</v>
      </c>
      <c r="AD11" s="23">
        <v>147500</v>
      </c>
      <c r="AE11" s="23"/>
    </row>
    <row r="12" spans="1:31" ht="37.5" customHeight="1">
      <c r="A12" s="32">
        <v>3</v>
      </c>
      <c r="B12" s="33" t="s">
        <v>52</v>
      </c>
      <c r="C12" s="62" t="s">
        <v>53</v>
      </c>
      <c r="D12" s="65" t="s">
        <v>70</v>
      </c>
      <c r="E12" s="10">
        <v>4.0599999999999996</v>
      </c>
      <c r="F12" s="34"/>
      <c r="G12" s="33"/>
      <c r="H12" s="35"/>
      <c r="I12" s="36"/>
      <c r="J12" s="127">
        <f>E12*16%</f>
        <v>0.64959999999999996</v>
      </c>
      <c r="K12" s="128">
        <f>(E12+F12+H12+J12)*31%</f>
        <v>1.4599759999999999</v>
      </c>
      <c r="L12" s="128">
        <f>J12+K12</f>
        <v>2.1095759999999997</v>
      </c>
      <c r="M12" s="35">
        <f>(E12+H12+(4.06*16%))*50%</f>
        <v>2.3548</v>
      </c>
      <c r="N12" s="37">
        <v>0.2</v>
      </c>
      <c r="O12" s="38">
        <f t="shared" si="3"/>
        <v>6049399.9999999991</v>
      </c>
      <c r="P12" s="135">
        <f t="shared" si="0"/>
        <v>0</v>
      </c>
      <c r="Q12" s="135">
        <f t="shared" si="0"/>
        <v>0</v>
      </c>
      <c r="R12" s="69">
        <f t="shared" si="4"/>
        <v>0</v>
      </c>
      <c r="S12" s="38">
        <f t="shared" si="5"/>
        <v>298000</v>
      </c>
      <c r="T12" s="38">
        <f t="shared" si="6"/>
        <v>3508652</v>
      </c>
      <c r="U12" s="136">
        <f t="shared" si="7"/>
        <v>0</v>
      </c>
      <c r="V12" s="69">
        <f t="shared" si="8"/>
        <v>3143268.2399999993</v>
      </c>
      <c r="W12" s="40">
        <f t="shared" ref="W12:W25" si="12">(O12+P12+R12+V12)*23.5%</f>
        <v>2160277.0363999996</v>
      </c>
      <c r="X12" s="40">
        <f t="shared" si="9"/>
        <v>15159597.276399998</v>
      </c>
      <c r="Y12" s="40">
        <f t="shared" ref="Y12:Y25" si="13">(O12+P12+R12+V12)*10.5%</f>
        <v>965230.16519999981</v>
      </c>
      <c r="Z12" s="41">
        <f t="shared" si="10"/>
        <v>12034090.074799998</v>
      </c>
      <c r="AA12" s="41"/>
      <c r="AB12" s="42"/>
      <c r="AC12" s="43">
        <f t="shared" si="11"/>
        <v>201646.66666666663</v>
      </c>
      <c r="AD12" s="23">
        <v>163500</v>
      </c>
      <c r="AE12" s="23"/>
    </row>
    <row r="13" spans="1:31" ht="37.5" customHeight="1">
      <c r="A13" s="32">
        <v>4</v>
      </c>
      <c r="B13" s="33" t="s">
        <v>54</v>
      </c>
      <c r="C13" s="62" t="s">
        <v>7</v>
      </c>
      <c r="D13" s="71" t="s">
        <v>69</v>
      </c>
      <c r="E13" s="10">
        <v>4.9800000000000004</v>
      </c>
      <c r="F13" s="34"/>
      <c r="G13" s="33"/>
      <c r="H13" s="37">
        <v>0.2</v>
      </c>
      <c r="I13" s="36"/>
      <c r="J13" s="127">
        <f t="shared" si="1"/>
        <v>0</v>
      </c>
      <c r="K13" s="128">
        <f>(E13+F13+H13+J13)*29%</f>
        <v>1.5022</v>
      </c>
      <c r="L13" s="128">
        <f t="shared" si="2"/>
        <v>1.5022</v>
      </c>
      <c r="M13" s="35">
        <f t="shared" ref="M13:M25" si="14">(E13+H13)*50%</f>
        <v>2.5900000000000003</v>
      </c>
      <c r="N13" s="37">
        <v>0.2</v>
      </c>
      <c r="O13" s="38">
        <f t="shared" si="3"/>
        <v>7420200.0000000009</v>
      </c>
      <c r="P13" s="135">
        <f t="shared" si="0"/>
        <v>0</v>
      </c>
      <c r="Q13" s="135">
        <f t="shared" si="0"/>
        <v>0</v>
      </c>
      <c r="R13" s="69">
        <f t="shared" si="4"/>
        <v>298000</v>
      </c>
      <c r="S13" s="38">
        <f t="shared" si="5"/>
        <v>298000</v>
      </c>
      <c r="T13" s="38">
        <f t="shared" si="6"/>
        <v>3859100.0000000005</v>
      </c>
      <c r="U13" s="136">
        <f t="shared" si="7"/>
        <v>0</v>
      </c>
      <c r="V13" s="69">
        <f t="shared" si="8"/>
        <v>2238278</v>
      </c>
      <c r="W13" s="40">
        <f t="shared" si="12"/>
        <v>2339772.33</v>
      </c>
      <c r="X13" s="40">
        <f t="shared" si="9"/>
        <v>16453350.330000002</v>
      </c>
      <c r="Y13" s="40">
        <f t="shared" si="13"/>
        <v>1045430.19</v>
      </c>
      <c r="Z13" s="41">
        <f t="shared" si="10"/>
        <v>13068147.810000002</v>
      </c>
      <c r="AA13" s="41"/>
      <c r="AB13" s="42"/>
      <c r="AC13" s="43">
        <f t="shared" si="11"/>
        <v>247340.00000000003</v>
      </c>
      <c r="AD13" s="23">
        <v>187500</v>
      </c>
      <c r="AE13" s="23"/>
    </row>
    <row r="14" spans="1:31" ht="37.5" customHeight="1">
      <c r="A14" s="32">
        <v>5</v>
      </c>
      <c r="B14" s="33" t="s">
        <v>55</v>
      </c>
      <c r="C14" s="62" t="s">
        <v>44</v>
      </c>
      <c r="D14" s="71" t="s">
        <v>69</v>
      </c>
      <c r="E14" s="10">
        <v>4.9800000000000004</v>
      </c>
      <c r="F14" s="34"/>
      <c r="G14" s="33"/>
      <c r="H14" s="63">
        <v>0.15</v>
      </c>
      <c r="I14" s="36"/>
      <c r="J14" s="127">
        <f t="shared" si="1"/>
        <v>0</v>
      </c>
      <c r="K14" s="128">
        <f>(E14+F14+H14+J14)*29%</f>
        <v>1.4877</v>
      </c>
      <c r="L14" s="128">
        <f t="shared" si="2"/>
        <v>1.4877</v>
      </c>
      <c r="M14" s="35">
        <f t="shared" si="14"/>
        <v>2.5650000000000004</v>
      </c>
      <c r="N14" s="37">
        <v>0.2</v>
      </c>
      <c r="O14" s="38">
        <f t="shared" si="3"/>
        <v>7420200.0000000009</v>
      </c>
      <c r="P14" s="135">
        <f t="shared" si="0"/>
        <v>0</v>
      </c>
      <c r="Q14" s="135">
        <f t="shared" si="0"/>
        <v>0</v>
      </c>
      <c r="R14" s="69">
        <f t="shared" si="4"/>
        <v>223500</v>
      </c>
      <c r="S14" s="38">
        <f t="shared" si="5"/>
        <v>298000</v>
      </c>
      <c r="T14" s="38">
        <f t="shared" si="6"/>
        <v>3821850.0000000005</v>
      </c>
      <c r="U14" s="136">
        <f t="shared" si="7"/>
        <v>0</v>
      </c>
      <c r="V14" s="69">
        <f t="shared" si="8"/>
        <v>2216673</v>
      </c>
      <c r="W14" s="40">
        <f t="shared" si="12"/>
        <v>2317187.6549999998</v>
      </c>
      <c r="X14" s="40">
        <f t="shared" si="9"/>
        <v>16297410.655000001</v>
      </c>
      <c r="Y14" s="40">
        <f t="shared" si="13"/>
        <v>1035339.1649999999</v>
      </c>
      <c r="Z14" s="41">
        <f t="shared" si="10"/>
        <v>12944883.835000003</v>
      </c>
      <c r="AA14" s="41"/>
      <c r="AB14" s="42"/>
      <c r="AC14" s="43">
        <f t="shared" si="11"/>
        <v>247340.00000000003</v>
      </c>
      <c r="AD14" s="23">
        <v>187500</v>
      </c>
      <c r="AE14" s="23"/>
    </row>
    <row r="15" spans="1:31" ht="31.5" customHeight="1">
      <c r="A15" s="32">
        <v>6</v>
      </c>
      <c r="B15" s="33" t="s">
        <v>56</v>
      </c>
      <c r="C15" s="62" t="s">
        <v>6</v>
      </c>
      <c r="D15" s="71" t="s">
        <v>69</v>
      </c>
      <c r="E15" s="10">
        <v>3</v>
      </c>
      <c r="F15" s="34"/>
      <c r="G15" s="33"/>
      <c r="H15" s="35"/>
      <c r="I15" s="36"/>
      <c r="J15" s="127">
        <f t="shared" si="1"/>
        <v>0</v>
      </c>
      <c r="K15" s="128">
        <f>E15*11%</f>
        <v>0.33</v>
      </c>
      <c r="L15" s="128">
        <f t="shared" si="2"/>
        <v>0.33</v>
      </c>
      <c r="M15" s="35">
        <f t="shared" si="14"/>
        <v>1.5</v>
      </c>
      <c r="N15" s="37">
        <v>0.2</v>
      </c>
      <c r="O15" s="38">
        <f t="shared" si="3"/>
        <v>4470000</v>
      </c>
      <c r="P15" s="135">
        <f t="shared" si="0"/>
        <v>0</v>
      </c>
      <c r="Q15" s="135">
        <f t="shared" si="0"/>
        <v>0</v>
      </c>
      <c r="R15" s="69">
        <f t="shared" si="4"/>
        <v>0</v>
      </c>
      <c r="S15" s="38">
        <f t="shared" si="5"/>
        <v>298000</v>
      </c>
      <c r="T15" s="38">
        <f t="shared" si="6"/>
        <v>2235000</v>
      </c>
      <c r="U15" s="136">
        <f t="shared" si="7"/>
        <v>0</v>
      </c>
      <c r="V15" s="69">
        <f t="shared" si="8"/>
        <v>491700</v>
      </c>
      <c r="W15" s="40">
        <f t="shared" si="12"/>
        <v>1165999.5</v>
      </c>
      <c r="X15" s="40">
        <f t="shared" si="9"/>
        <v>8660699.5</v>
      </c>
      <c r="Y15" s="40">
        <f t="shared" si="13"/>
        <v>520978.5</v>
      </c>
      <c r="Z15" s="41">
        <f t="shared" si="10"/>
        <v>6973721.5</v>
      </c>
      <c r="AA15" s="41"/>
      <c r="AB15" s="42"/>
      <c r="AC15" s="43">
        <f t="shared" si="11"/>
        <v>149000</v>
      </c>
      <c r="AD15" s="23">
        <v>121000</v>
      </c>
      <c r="AE15" s="23"/>
    </row>
    <row r="16" spans="1:31" ht="31.5" customHeight="1">
      <c r="A16" s="32">
        <v>7</v>
      </c>
      <c r="B16" s="33" t="s">
        <v>57</v>
      </c>
      <c r="C16" s="62" t="s">
        <v>6</v>
      </c>
      <c r="D16" s="71" t="s">
        <v>69</v>
      </c>
      <c r="E16" s="10">
        <v>3</v>
      </c>
      <c r="F16" s="34"/>
      <c r="G16" s="33"/>
      <c r="H16" s="37"/>
      <c r="I16" s="36"/>
      <c r="J16" s="127">
        <f t="shared" si="1"/>
        <v>0</v>
      </c>
      <c r="K16" s="128">
        <f>E15*11%</f>
        <v>0.33</v>
      </c>
      <c r="L16" s="128">
        <f t="shared" si="2"/>
        <v>0.33</v>
      </c>
      <c r="M16" s="35">
        <f t="shared" si="14"/>
        <v>1.5</v>
      </c>
      <c r="N16" s="37">
        <v>0.2</v>
      </c>
      <c r="O16" s="38">
        <f t="shared" si="3"/>
        <v>4470000</v>
      </c>
      <c r="P16" s="135">
        <f t="shared" si="0"/>
        <v>0</v>
      </c>
      <c r="Q16" s="135">
        <f t="shared" si="0"/>
        <v>0</v>
      </c>
      <c r="R16" s="69">
        <f t="shared" si="4"/>
        <v>0</v>
      </c>
      <c r="S16" s="38">
        <f t="shared" si="5"/>
        <v>298000</v>
      </c>
      <c r="T16" s="38">
        <f t="shared" si="6"/>
        <v>2235000</v>
      </c>
      <c r="U16" s="136">
        <f t="shared" si="7"/>
        <v>0</v>
      </c>
      <c r="V16" s="69">
        <f t="shared" si="8"/>
        <v>491700</v>
      </c>
      <c r="W16" s="40">
        <f t="shared" si="12"/>
        <v>1165999.5</v>
      </c>
      <c r="X16" s="40">
        <f t="shared" si="9"/>
        <v>8660699.5</v>
      </c>
      <c r="Y16" s="40">
        <f t="shared" si="13"/>
        <v>520978.5</v>
      </c>
      <c r="Z16" s="41">
        <f t="shared" si="10"/>
        <v>6973721.5</v>
      </c>
      <c r="AA16" s="41"/>
      <c r="AB16" s="42"/>
      <c r="AC16" s="43">
        <f t="shared" si="11"/>
        <v>149000</v>
      </c>
      <c r="AD16" s="23">
        <v>107500</v>
      </c>
      <c r="AE16" s="23"/>
    </row>
    <row r="17" spans="1:31" ht="31.5" customHeight="1">
      <c r="A17" s="32">
        <v>8</v>
      </c>
      <c r="B17" s="33" t="s">
        <v>58</v>
      </c>
      <c r="C17" s="62" t="s">
        <v>6</v>
      </c>
      <c r="D17" s="71" t="s">
        <v>69</v>
      </c>
      <c r="E17" s="10">
        <v>3</v>
      </c>
      <c r="F17" s="34"/>
      <c r="G17" s="33"/>
      <c r="H17" s="37"/>
      <c r="I17" s="67"/>
      <c r="J17" s="127">
        <f t="shared" si="1"/>
        <v>0</v>
      </c>
      <c r="K17" s="128">
        <f>E17*11%</f>
        <v>0.33</v>
      </c>
      <c r="L17" s="128">
        <f t="shared" si="2"/>
        <v>0.33</v>
      </c>
      <c r="M17" s="35">
        <f>(3)*50%</f>
        <v>1.5</v>
      </c>
      <c r="N17" s="37">
        <v>0.2</v>
      </c>
      <c r="O17" s="38">
        <f t="shared" si="3"/>
        <v>4470000</v>
      </c>
      <c r="P17" s="135">
        <f t="shared" si="0"/>
        <v>0</v>
      </c>
      <c r="Q17" s="135">
        <f t="shared" si="0"/>
        <v>0</v>
      </c>
      <c r="R17" s="69">
        <f t="shared" si="4"/>
        <v>0</v>
      </c>
      <c r="S17" s="38">
        <f t="shared" si="5"/>
        <v>298000</v>
      </c>
      <c r="T17" s="38">
        <f t="shared" si="6"/>
        <v>2235000</v>
      </c>
      <c r="U17" s="136">
        <f t="shared" si="7"/>
        <v>0</v>
      </c>
      <c r="V17" s="69">
        <f t="shared" si="8"/>
        <v>491700</v>
      </c>
      <c r="W17" s="40">
        <f>((3*1390000)+P17+R17+V17)*23.5%</f>
        <v>1095499.5</v>
      </c>
      <c r="X17" s="40">
        <f>SUM(O17:W17)</f>
        <v>8590199.5</v>
      </c>
      <c r="Y17" s="40">
        <f>((3*1490000)+P17+R17+V17)*10.5%</f>
        <v>520978.5</v>
      </c>
      <c r="Z17" s="41">
        <f>O17+P17+Q17+R17+S17+T17+U17+V17-Y17</f>
        <v>6973721.5</v>
      </c>
      <c r="AA17" s="41">
        <f>3*1390000/22*7</f>
        <v>1326818.1818181819</v>
      </c>
      <c r="AB17" s="42"/>
      <c r="AC17" s="43">
        <f t="shared" si="11"/>
        <v>149000</v>
      </c>
      <c r="AD17" s="23">
        <v>107500</v>
      </c>
      <c r="AE17" s="23"/>
    </row>
    <row r="18" spans="1:31" ht="31.5" customHeight="1">
      <c r="A18" s="32">
        <v>9</v>
      </c>
      <c r="B18" s="33" t="s">
        <v>59</v>
      </c>
      <c r="C18" s="62" t="s">
        <v>6</v>
      </c>
      <c r="D18" s="71" t="s">
        <v>69</v>
      </c>
      <c r="E18" s="10">
        <v>3</v>
      </c>
      <c r="F18" s="34"/>
      <c r="G18" s="33"/>
      <c r="H18" s="35"/>
      <c r="I18" s="67"/>
      <c r="J18" s="127">
        <f t="shared" si="1"/>
        <v>0</v>
      </c>
      <c r="K18" s="128">
        <f>E18*9%</f>
        <v>0.27</v>
      </c>
      <c r="L18" s="128">
        <f t="shared" si="2"/>
        <v>0.27</v>
      </c>
      <c r="M18" s="35">
        <f t="shared" si="14"/>
        <v>1.5</v>
      </c>
      <c r="N18" s="37">
        <v>0.2</v>
      </c>
      <c r="O18" s="38">
        <f t="shared" si="3"/>
        <v>4470000</v>
      </c>
      <c r="P18" s="135">
        <f t="shared" si="0"/>
        <v>0</v>
      </c>
      <c r="Q18" s="135">
        <f t="shared" si="0"/>
        <v>0</v>
      </c>
      <c r="R18" s="69">
        <f t="shared" si="4"/>
        <v>0</v>
      </c>
      <c r="S18" s="38">
        <f t="shared" si="5"/>
        <v>298000</v>
      </c>
      <c r="T18" s="38">
        <f t="shared" si="6"/>
        <v>2235000</v>
      </c>
      <c r="U18" s="136">
        <f t="shared" si="7"/>
        <v>0</v>
      </c>
      <c r="V18" s="69">
        <f t="shared" si="8"/>
        <v>402300</v>
      </c>
      <c r="W18" s="40">
        <f t="shared" si="12"/>
        <v>1144990.5</v>
      </c>
      <c r="X18" s="40">
        <f t="shared" si="9"/>
        <v>8550290.5</v>
      </c>
      <c r="Y18" s="40">
        <f t="shared" si="13"/>
        <v>511591.5</v>
      </c>
      <c r="Z18" s="41">
        <f t="shared" si="10"/>
        <v>6893708.5</v>
      </c>
      <c r="AA18" s="41"/>
      <c r="AB18" s="42"/>
      <c r="AC18" s="43">
        <f t="shared" si="11"/>
        <v>149000</v>
      </c>
      <c r="AD18" s="23">
        <v>107500</v>
      </c>
      <c r="AE18" s="23"/>
    </row>
    <row r="19" spans="1:31" ht="37.5" customHeight="1">
      <c r="A19" s="32">
        <v>10</v>
      </c>
      <c r="B19" s="33" t="s">
        <v>39</v>
      </c>
      <c r="C19" s="131" t="s">
        <v>60</v>
      </c>
      <c r="D19" s="64" t="s">
        <v>9</v>
      </c>
      <c r="E19" s="10">
        <v>2.86</v>
      </c>
      <c r="F19" s="34"/>
      <c r="G19" s="33"/>
      <c r="H19" s="37">
        <v>0.2</v>
      </c>
      <c r="I19" s="67">
        <v>0.1</v>
      </c>
      <c r="J19" s="127">
        <f t="shared" si="1"/>
        <v>0</v>
      </c>
      <c r="K19" s="128"/>
      <c r="L19" s="127">
        <f t="shared" si="2"/>
        <v>0</v>
      </c>
      <c r="M19" s="35"/>
      <c r="N19" s="37">
        <v>0.2</v>
      </c>
      <c r="O19" s="38">
        <f t="shared" si="3"/>
        <v>4261400</v>
      </c>
      <c r="P19" s="135">
        <f t="shared" si="0"/>
        <v>0</v>
      </c>
      <c r="Q19" s="135">
        <f t="shared" si="0"/>
        <v>0</v>
      </c>
      <c r="R19" s="69">
        <f t="shared" si="4"/>
        <v>298000</v>
      </c>
      <c r="S19" s="38">
        <f t="shared" si="5"/>
        <v>298000</v>
      </c>
      <c r="T19" s="38">
        <f t="shared" si="6"/>
        <v>0</v>
      </c>
      <c r="U19" s="213">
        <f t="shared" si="7"/>
        <v>149000</v>
      </c>
      <c r="V19" s="69">
        <f t="shared" si="8"/>
        <v>0</v>
      </c>
      <c r="W19" s="40">
        <f t="shared" si="12"/>
        <v>1071459</v>
      </c>
      <c r="X19" s="40">
        <f t="shared" si="9"/>
        <v>6077859</v>
      </c>
      <c r="Y19" s="40">
        <f t="shared" si="13"/>
        <v>478737</v>
      </c>
      <c r="Z19" s="41">
        <f t="shared" si="10"/>
        <v>4527663</v>
      </c>
      <c r="AA19" s="41"/>
      <c r="AB19" s="42"/>
      <c r="AC19" s="43">
        <f t="shared" si="11"/>
        <v>142046.66666666666</v>
      </c>
      <c r="AD19" s="23">
        <v>49000</v>
      </c>
      <c r="AE19" s="23"/>
    </row>
    <row r="20" spans="1:31" ht="30" customHeight="1">
      <c r="A20" s="32">
        <v>11</v>
      </c>
      <c r="B20" s="33" t="s">
        <v>67</v>
      </c>
      <c r="C20" s="62" t="s">
        <v>6</v>
      </c>
      <c r="D20" s="71" t="s">
        <v>69</v>
      </c>
      <c r="E20" s="10">
        <v>3</v>
      </c>
      <c r="F20" s="34"/>
      <c r="G20" s="33"/>
      <c r="H20" s="35"/>
      <c r="I20" s="67"/>
      <c r="J20" s="127">
        <f t="shared" si="1"/>
        <v>0</v>
      </c>
      <c r="K20" s="128">
        <f>E20*9%</f>
        <v>0.27</v>
      </c>
      <c r="L20" s="128">
        <f>J20+K20</f>
        <v>0.27</v>
      </c>
      <c r="M20" s="35">
        <f>(E20+H20)*50%</f>
        <v>1.5</v>
      </c>
      <c r="N20" s="37">
        <v>0.2</v>
      </c>
      <c r="O20" s="38">
        <f t="shared" si="3"/>
        <v>4470000</v>
      </c>
      <c r="P20" s="135">
        <f t="shared" si="0"/>
        <v>0</v>
      </c>
      <c r="Q20" s="135">
        <f t="shared" si="0"/>
        <v>0</v>
      </c>
      <c r="R20" s="69">
        <f t="shared" si="4"/>
        <v>0</v>
      </c>
      <c r="S20" s="38">
        <f t="shared" si="5"/>
        <v>298000</v>
      </c>
      <c r="T20" s="38">
        <f t="shared" si="6"/>
        <v>2235000</v>
      </c>
      <c r="U20" s="136">
        <f t="shared" si="7"/>
        <v>0</v>
      </c>
      <c r="V20" s="69">
        <f t="shared" si="8"/>
        <v>402300</v>
      </c>
      <c r="W20" s="40">
        <f t="shared" si="12"/>
        <v>1144990.5</v>
      </c>
      <c r="X20" s="40">
        <f t="shared" si="9"/>
        <v>8550290.5</v>
      </c>
      <c r="Y20" s="40">
        <f t="shared" si="13"/>
        <v>511591.5</v>
      </c>
      <c r="Z20" s="41">
        <f t="shared" si="10"/>
        <v>6893708.5</v>
      </c>
      <c r="AA20" s="41"/>
      <c r="AB20" s="42"/>
      <c r="AC20" s="43">
        <f t="shared" si="11"/>
        <v>149000</v>
      </c>
      <c r="AD20" s="23">
        <v>107500</v>
      </c>
      <c r="AE20" s="23"/>
    </row>
    <row r="21" spans="1:31" ht="30" customHeight="1">
      <c r="A21" s="32">
        <v>12</v>
      </c>
      <c r="B21" s="33" t="s">
        <v>61</v>
      </c>
      <c r="C21" s="62" t="s">
        <v>6</v>
      </c>
      <c r="D21" s="65" t="s">
        <v>71</v>
      </c>
      <c r="E21" s="10">
        <v>2.72</v>
      </c>
      <c r="F21" s="34"/>
      <c r="G21" s="33"/>
      <c r="H21" s="35"/>
      <c r="I21" s="36"/>
      <c r="J21" s="127">
        <f t="shared" si="1"/>
        <v>0</v>
      </c>
      <c r="K21" s="128">
        <f>E21*8%</f>
        <v>0.21760000000000002</v>
      </c>
      <c r="L21" s="128">
        <f t="shared" si="2"/>
        <v>0.21760000000000002</v>
      </c>
      <c r="M21" s="35">
        <f t="shared" si="14"/>
        <v>1.36</v>
      </c>
      <c r="N21" s="37">
        <v>0.2</v>
      </c>
      <c r="O21" s="38">
        <f t="shared" si="3"/>
        <v>4052800.0000000005</v>
      </c>
      <c r="P21" s="135">
        <f t="shared" si="0"/>
        <v>0</v>
      </c>
      <c r="Q21" s="135">
        <f t="shared" si="0"/>
        <v>0</v>
      </c>
      <c r="R21" s="69">
        <f t="shared" si="4"/>
        <v>0</v>
      </c>
      <c r="S21" s="38">
        <f t="shared" si="5"/>
        <v>298000</v>
      </c>
      <c r="T21" s="38">
        <f t="shared" si="6"/>
        <v>2026400.0000000002</v>
      </c>
      <c r="U21" s="136">
        <f t="shared" si="7"/>
        <v>0</v>
      </c>
      <c r="V21" s="69">
        <f t="shared" si="8"/>
        <v>324224</v>
      </c>
      <c r="W21" s="40">
        <f t="shared" si="12"/>
        <v>1028600.6399999999</v>
      </c>
      <c r="X21" s="40">
        <f t="shared" si="9"/>
        <v>7730024.6399999997</v>
      </c>
      <c r="Y21" s="40">
        <f t="shared" si="13"/>
        <v>459587.51999999996</v>
      </c>
      <c r="Z21" s="41">
        <f t="shared" si="10"/>
        <v>6241836.4800000004</v>
      </c>
      <c r="AA21" s="41"/>
      <c r="AB21" s="42"/>
      <c r="AC21" s="43">
        <f t="shared" si="11"/>
        <v>135093.33333333334</v>
      </c>
      <c r="AD21" s="23">
        <v>109500</v>
      </c>
      <c r="AE21" s="23"/>
    </row>
    <row r="22" spans="1:31" ht="30" customHeight="1">
      <c r="A22" s="32">
        <v>13</v>
      </c>
      <c r="B22" s="33" t="s">
        <v>62</v>
      </c>
      <c r="C22" s="62" t="s">
        <v>6</v>
      </c>
      <c r="D22" s="65" t="s">
        <v>70</v>
      </c>
      <c r="E22" s="10">
        <v>2.2599999999999998</v>
      </c>
      <c r="F22" s="34"/>
      <c r="G22" s="33"/>
      <c r="H22" s="35"/>
      <c r="I22" s="36"/>
      <c r="J22" s="127">
        <f t="shared" si="1"/>
        <v>0</v>
      </c>
      <c r="K22" s="128"/>
      <c r="L22" s="127">
        <f t="shared" si="2"/>
        <v>0</v>
      </c>
      <c r="M22" s="35">
        <f t="shared" si="14"/>
        <v>1.1299999999999999</v>
      </c>
      <c r="N22" s="37">
        <v>0.2</v>
      </c>
      <c r="O22" s="38">
        <f t="shared" si="3"/>
        <v>3367399.9999999995</v>
      </c>
      <c r="P22" s="135">
        <f t="shared" si="0"/>
        <v>0</v>
      </c>
      <c r="Q22" s="135">
        <f t="shared" si="0"/>
        <v>0</v>
      </c>
      <c r="R22" s="69">
        <f t="shared" si="4"/>
        <v>0</v>
      </c>
      <c r="S22" s="38">
        <f t="shared" si="5"/>
        <v>298000</v>
      </c>
      <c r="T22" s="38">
        <f t="shared" si="6"/>
        <v>1683699.9999999998</v>
      </c>
      <c r="U22" s="136">
        <f t="shared" si="7"/>
        <v>0</v>
      </c>
      <c r="V22" s="69">
        <f t="shared" si="8"/>
        <v>0</v>
      </c>
      <c r="W22" s="40">
        <f t="shared" si="12"/>
        <v>791338.99999999988</v>
      </c>
      <c r="X22" s="40">
        <f t="shared" si="9"/>
        <v>6140438.9999999991</v>
      </c>
      <c r="Y22" s="40">
        <f t="shared" si="13"/>
        <v>353576.99999999994</v>
      </c>
      <c r="Z22" s="41">
        <f t="shared" si="10"/>
        <v>4995522.9999999991</v>
      </c>
      <c r="AA22" s="41"/>
      <c r="AB22" s="42"/>
      <c r="AC22" s="43">
        <f>2.06*1210000/30</f>
        <v>83086.666666666672</v>
      </c>
      <c r="AD22" s="23">
        <v>83000</v>
      </c>
      <c r="AE22" s="23"/>
    </row>
    <row r="23" spans="1:31" ht="30" customHeight="1">
      <c r="A23" s="32">
        <v>14</v>
      </c>
      <c r="B23" s="33" t="s">
        <v>63</v>
      </c>
      <c r="C23" s="62" t="s">
        <v>6</v>
      </c>
      <c r="D23" s="65" t="s">
        <v>70</v>
      </c>
      <c r="E23" s="10">
        <v>2.2599999999999998</v>
      </c>
      <c r="F23" s="34"/>
      <c r="G23" s="33"/>
      <c r="H23" s="35"/>
      <c r="I23" s="36"/>
      <c r="J23" s="127">
        <f t="shared" si="1"/>
        <v>0</v>
      </c>
      <c r="K23" s="128"/>
      <c r="L23" s="127">
        <f t="shared" si="2"/>
        <v>0</v>
      </c>
      <c r="M23" s="35">
        <f t="shared" si="14"/>
        <v>1.1299999999999999</v>
      </c>
      <c r="N23" s="37">
        <v>0.2</v>
      </c>
      <c r="O23" s="38">
        <f t="shared" si="3"/>
        <v>3367399.9999999995</v>
      </c>
      <c r="P23" s="135">
        <f t="shared" si="0"/>
        <v>0</v>
      </c>
      <c r="Q23" s="135">
        <f t="shared" si="0"/>
        <v>0</v>
      </c>
      <c r="R23" s="69">
        <f t="shared" si="4"/>
        <v>0</v>
      </c>
      <c r="S23" s="38">
        <f t="shared" si="5"/>
        <v>298000</v>
      </c>
      <c r="T23" s="38">
        <f t="shared" si="6"/>
        <v>1683699.9999999998</v>
      </c>
      <c r="U23" s="136">
        <f t="shared" si="7"/>
        <v>0</v>
      </c>
      <c r="V23" s="69">
        <f t="shared" si="8"/>
        <v>0</v>
      </c>
      <c r="W23" s="40">
        <f t="shared" si="12"/>
        <v>791338.99999999988</v>
      </c>
      <c r="X23" s="40">
        <f t="shared" si="9"/>
        <v>6140438.9999999991</v>
      </c>
      <c r="Y23" s="40">
        <f t="shared" si="13"/>
        <v>353576.99999999994</v>
      </c>
      <c r="Z23" s="41">
        <f t="shared" si="10"/>
        <v>4995522.9999999991</v>
      </c>
      <c r="AA23" s="41"/>
      <c r="AB23" s="42"/>
      <c r="AC23" s="43">
        <f t="shared" si="11"/>
        <v>112246.66666666666</v>
      </c>
      <c r="AD23" s="23">
        <v>75000</v>
      </c>
      <c r="AE23" s="23"/>
    </row>
    <row r="24" spans="1:31" ht="30" customHeight="1">
      <c r="A24" s="32">
        <v>15</v>
      </c>
      <c r="B24" s="33" t="s">
        <v>64</v>
      </c>
      <c r="C24" s="62" t="s">
        <v>6</v>
      </c>
      <c r="D24" s="71" t="s">
        <v>71</v>
      </c>
      <c r="E24" s="10">
        <v>2.1</v>
      </c>
      <c r="F24" s="66"/>
      <c r="G24" s="66"/>
      <c r="H24" s="37">
        <v>0.2</v>
      </c>
      <c r="I24" s="67"/>
      <c r="J24" s="127">
        <f t="shared" si="1"/>
        <v>0</v>
      </c>
      <c r="K24" s="128"/>
      <c r="L24" s="127">
        <f t="shared" si="2"/>
        <v>0</v>
      </c>
      <c r="M24" s="35">
        <f t="shared" si="14"/>
        <v>1.1500000000000001</v>
      </c>
      <c r="N24" s="37">
        <v>0.2</v>
      </c>
      <c r="O24" s="38">
        <f t="shared" si="3"/>
        <v>3129000</v>
      </c>
      <c r="P24" s="135">
        <f t="shared" si="0"/>
        <v>0</v>
      </c>
      <c r="Q24" s="135">
        <f t="shared" si="0"/>
        <v>0</v>
      </c>
      <c r="R24" s="69">
        <f t="shared" si="4"/>
        <v>298000</v>
      </c>
      <c r="S24" s="38">
        <f t="shared" si="5"/>
        <v>298000</v>
      </c>
      <c r="T24" s="38">
        <f t="shared" si="6"/>
        <v>1713500.0000000002</v>
      </c>
      <c r="U24" s="136">
        <f t="shared" si="7"/>
        <v>0</v>
      </c>
      <c r="V24" s="69">
        <f t="shared" si="8"/>
        <v>0</v>
      </c>
      <c r="W24" s="40">
        <f t="shared" si="12"/>
        <v>805345</v>
      </c>
      <c r="X24" s="40">
        <f t="shared" si="9"/>
        <v>6243845</v>
      </c>
      <c r="Y24" s="40">
        <f t="shared" si="13"/>
        <v>359835</v>
      </c>
      <c r="Z24" s="41">
        <f t="shared" si="10"/>
        <v>5078665</v>
      </c>
      <c r="AA24" s="41"/>
      <c r="AB24" s="42"/>
      <c r="AC24" s="43">
        <f t="shared" si="11"/>
        <v>104300</v>
      </c>
      <c r="AD24" s="23">
        <v>84500</v>
      </c>
      <c r="AE24" s="23"/>
    </row>
    <row r="25" spans="1:31" ht="30" customHeight="1">
      <c r="A25" s="32">
        <v>16</v>
      </c>
      <c r="B25" s="33" t="s">
        <v>65</v>
      </c>
      <c r="C25" s="62" t="s">
        <v>6</v>
      </c>
      <c r="D25" s="71" t="s">
        <v>71</v>
      </c>
      <c r="E25" s="10">
        <v>2.1</v>
      </c>
      <c r="F25" s="66"/>
      <c r="G25" s="66"/>
      <c r="H25" s="35"/>
      <c r="I25" s="36">
        <v>0.1</v>
      </c>
      <c r="J25" s="127">
        <f t="shared" si="1"/>
        <v>0</v>
      </c>
      <c r="K25" s="128"/>
      <c r="L25" s="127">
        <f t="shared" si="2"/>
        <v>0</v>
      </c>
      <c r="M25" s="35">
        <f t="shared" si="14"/>
        <v>1.05</v>
      </c>
      <c r="N25" s="37">
        <v>0.2</v>
      </c>
      <c r="O25" s="38">
        <f t="shared" si="3"/>
        <v>3129000</v>
      </c>
      <c r="P25" s="135">
        <f t="shared" si="0"/>
        <v>0</v>
      </c>
      <c r="Q25" s="135">
        <f t="shared" si="0"/>
        <v>0</v>
      </c>
      <c r="R25" s="69">
        <f t="shared" si="4"/>
        <v>0</v>
      </c>
      <c r="S25" s="38">
        <f t="shared" si="5"/>
        <v>298000</v>
      </c>
      <c r="T25" s="38">
        <f t="shared" si="6"/>
        <v>1564500</v>
      </c>
      <c r="U25" s="136">
        <f t="shared" si="7"/>
        <v>149000</v>
      </c>
      <c r="V25" s="69">
        <f t="shared" si="8"/>
        <v>0</v>
      </c>
      <c r="W25" s="40">
        <f t="shared" si="12"/>
        <v>735315</v>
      </c>
      <c r="X25" s="40">
        <f t="shared" si="9"/>
        <v>5875815</v>
      </c>
      <c r="Y25" s="40">
        <f t="shared" si="13"/>
        <v>328545</v>
      </c>
      <c r="Z25" s="41">
        <f t="shared" si="10"/>
        <v>4811955</v>
      </c>
      <c r="AA25" s="41"/>
      <c r="AB25" s="42"/>
      <c r="AC25" s="43">
        <f t="shared" si="11"/>
        <v>104300</v>
      </c>
      <c r="AD25" s="23">
        <v>84500</v>
      </c>
      <c r="AE25" s="23"/>
    </row>
    <row r="26" spans="1:31" s="44" customFormat="1" ht="47.25" customHeight="1">
      <c r="A26" s="231" t="s">
        <v>36</v>
      </c>
      <c r="B26" s="232"/>
      <c r="C26" s="232"/>
      <c r="D26" s="32"/>
      <c r="E26" s="10">
        <f t="shared" ref="E26:Q26" si="15">SUM(E10:E25)</f>
        <v>52.29</v>
      </c>
      <c r="F26" s="10">
        <f t="shared" si="15"/>
        <v>0</v>
      </c>
      <c r="G26" s="10">
        <f t="shared" si="15"/>
        <v>0</v>
      </c>
      <c r="H26" s="10">
        <f t="shared" si="15"/>
        <v>1.5999999999999999</v>
      </c>
      <c r="I26" s="10">
        <f t="shared" si="15"/>
        <v>0.2</v>
      </c>
      <c r="J26" s="126">
        <f t="shared" si="15"/>
        <v>0.64959999999999996</v>
      </c>
      <c r="K26" s="126">
        <f t="shared" si="15"/>
        <v>8.5678760000000018</v>
      </c>
      <c r="L26" s="126">
        <f t="shared" si="15"/>
        <v>9.2174759999999978</v>
      </c>
      <c r="M26" s="72">
        <f t="shared" si="15"/>
        <v>25.739799999999999</v>
      </c>
      <c r="N26" s="10">
        <f t="shared" si="15"/>
        <v>3.2000000000000006</v>
      </c>
      <c r="O26" s="39">
        <f t="shared" si="15"/>
        <v>77912100</v>
      </c>
      <c r="P26" s="68">
        <f t="shared" si="15"/>
        <v>0</v>
      </c>
      <c r="Q26" s="68">
        <f t="shared" si="15"/>
        <v>0</v>
      </c>
      <c r="R26" s="69">
        <f t="shared" si="4"/>
        <v>2384000</v>
      </c>
      <c r="S26" s="39">
        <f>SUM(S10:S25)</f>
        <v>4768000</v>
      </c>
      <c r="T26" s="38">
        <f>M26*1390000</f>
        <v>35778322</v>
      </c>
      <c r="U26" s="39">
        <f t="shared" ref="U26:Z26" si="16">SUM(U10:U25)</f>
        <v>298000</v>
      </c>
      <c r="V26" s="39">
        <f t="shared" si="16"/>
        <v>13734039.239999998</v>
      </c>
      <c r="W26" s="39">
        <f t="shared" si="16"/>
        <v>21921251.641400002</v>
      </c>
      <c r="X26" s="39">
        <f t="shared" si="16"/>
        <v>159369692.88139999</v>
      </c>
      <c r="Y26" s="39">
        <f t="shared" si="16"/>
        <v>9767833.5401999988</v>
      </c>
      <c r="Z26" s="39">
        <f t="shared" si="16"/>
        <v>127680607.6998</v>
      </c>
      <c r="AA26" s="41"/>
      <c r="AD26" s="44">
        <f>SUM(AD10:AD25)</f>
        <v>1910000</v>
      </c>
    </row>
    <row r="27" spans="1:31" s="44" customFormat="1" ht="39" customHeight="1">
      <c r="A27" s="233" t="s">
        <v>147</v>
      </c>
      <c r="B27" s="234"/>
      <c r="C27" s="132" t="s">
        <v>6</v>
      </c>
      <c r="D27" s="32"/>
      <c r="E27" s="10"/>
      <c r="F27" s="10"/>
      <c r="G27" s="10"/>
      <c r="H27" s="10"/>
      <c r="I27" s="10"/>
      <c r="J27" s="72"/>
      <c r="K27" s="72">
        <f>E27*8%</f>
        <v>0</v>
      </c>
      <c r="L27" s="72">
        <f>J27+K27</f>
        <v>0</v>
      </c>
      <c r="M27" s="72"/>
      <c r="N27" s="10">
        <v>0</v>
      </c>
      <c r="O27" s="39">
        <f>E27*1390000</f>
        <v>0</v>
      </c>
      <c r="P27" s="68"/>
      <c r="Q27" s="68"/>
      <c r="R27" s="69">
        <f t="shared" si="4"/>
        <v>0</v>
      </c>
      <c r="S27" s="39">
        <f>N27*1390000</f>
        <v>0</v>
      </c>
      <c r="T27" s="38">
        <f t="shared" ref="T27:T28" si="17">M27*1390000*2</f>
        <v>0</v>
      </c>
      <c r="U27" s="39"/>
      <c r="V27" s="39">
        <f>K27*1390000</f>
        <v>0</v>
      </c>
      <c r="W27" s="39"/>
      <c r="X27" s="39"/>
      <c r="Y27" s="39"/>
      <c r="Z27" s="39"/>
      <c r="AA27" s="41"/>
    </row>
    <row r="28" spans="1:31" s="44" customFormat="1" ht="26.25" customHeight="1">
      <c r="A28" s="268" t="s">
        <v>144</v>
      </c>
      <c r="B28" s="269"/>
      <c r="C28" s="270"/>
      <c r="D28" s="32"/>
      <c r="E28" s="10"/>
      <c r="F28" s="10"/>
      <c r="G28" s="10"/>
      <c r="H28" s="10"/>
      <c r="I28" s="10"/>
      <c r="J28" s="72"/>
      <c r="K28" s="72"/>
      <c r="L28" s="72"/>
      <c r="M28" s="72"/>
      <c r="N28" s="10"/>
      <c r="O28" s="39">
        <f>O26-O27</f>
        <v>77912100</v>
      </c>
      <c r="P28" s="39">
        <f t="shared" ref="P28:U28" si="18">P26-P27</f>
        <v>0</v>
      </c>
      <c r="Q28" s="39">
        <f t="shared" si="18"/>
        <v>0</v>
      </c>
      <c r="R28" s="39">
        <f t="shared" si="18"/>
        <v>2384000</v>
      </c>
      <c r="S28" s="39">
        <f t="shared" si="18"/>
        <v>4768000</v>
      </c>
      <c r="T28" s="38">
        <f t="shared" si="17"/>
        <v>0</v>
      </c>
      <c r="U28" s="39">
        <f t="shared" si="18"/>
        <v>298000</v>
      </c>
      <c r="V28" s="39">
        <f>V26-V27</f>
        <v>13734039.239999998</v>
      </c>
      <c r="W28" s="39">
        <f t="shared" ref="W28" si="19">W26-W27</f>
        <v>21921251.641400002</v>
      </c>
      <c r="X28" s="39">
        <f t="shared" ref="X28" si="20">X26-X27</f>
        <v>159369692.88139999</v>
      </c>
      <c r="Y28" s="39">
        <f t="shared" ref="Y28" si="21">Y26-Y27</f>
        <v>9767833.5401999988</v>
      </c>
      <c r="Z28" s="39">
        <f>Z26-Z27</f>
        <v>127680607.6998</v>
      </c>
      <c r="AA28" s="41"/>
    </row>
    <row r="29" spans="1:31" s="9" customFormat="1" ht="33" customHeight="1">
      <c r="A29" s="271" t="s">
        <v>84</v>
      </c>
      <c r="B29" s="272"/>
      <c r="C29" s="11"/>
      <c r="D29" s="11"/>
      <c r="E29" s="45"/>
      <c r="F29" s="45"/>
      <c r="G29" s="11"/>
      <c r="H29" s="11"/>
      <c r="I29" s="46"/>
      <c r="J29" s="11"/>
      <c r="K29" s="11"/>
      <c r="L29" s="11"/>
      <c r="M29" s="11"/>
      <c r="N29" s="11"/>
      <c r="O29" s="187">
        <f>((E26-E10)*1490000*10.5%)+(E10*9.5%*1490000)</f>
        <v>8106568.5</v>
      </c>
      <c r="P29" s="47">
        <f>(P26-P10)*10.5%+(P10*9.5%)</f>
        <v>0</v>
      </c>
      <c r="Q29" s="47">
        <f>(Q26-Q10)*10.5%+(Q10*9.5%)</f>
        <v>0</v>
      </c>
      <c r="R29" s="47">
        <f>(R26-R10)*10.5%+(R10*9.5%)</f>
        <v>242870</v>
      </c>
      <c r="S29" s="47"/>
      <c r="T29" s="47"/>
      <c r="U29" s="47"/>
      <c r="V29" s="47">
        <f>((V28-V10)*10.5%)+(V10*9.5%)</f>
        <v>1418395.0401999997</v>
      </c>
      <c r="W29" s="48"/>
      <c r="X29" s="48"/>
      <c r="Y29" s="48">
        <f>O29+R29+T29+V29</f>
        <v>9767833.5401999988</v>
      </c>
      <c r="Z29" s="48"/>
      <c r="AA29" s="48"/>
      <c r="AB29" s="49"/>
    </row>
    <row r="30" spans="1:31" s="9" customFormat="1" ht="26.25" customHeight="1">
      <c r="A30" s="273" t="s">
        <v>17</v>
      </c>
      <c r="B30" s="272"/>
      <c r="C30" s="11"/>
      <c r="D30" s="11"/>
      <c r="E30" s="45"/>
      <c r="F30" s="45"/>
      <c r="G30" s="11"/>
      <c r="H30" s="11"/>
      <c r="I30" s="46"/>
      <c r="J30" s="11"/>
      <c r="K30" s="11"/>
      <c r="L30" s="11"/>
      <c r="M30" s="11"/>
      <c r="N30" s="11"/>
      <c r="O30" s="187">
        <f>O28-O29</f>
        <v>69805531.5</v>
      </c>
      <c r="P30" s="50">
        <f t="shared" ref="P30:V30" si="22">P28-P29</f>
        <v>0</v>
      </c>
      <c r="Q30" s="50">
        <f t="shared" si="22"/>
        <v>0</v>
      </c>
      <c r="R30" s="50">
        <f>R28-R29</f>
        <v>2141130</v>
      </c>
      <c r="S30" s="50">
        <f t="shared" si="22"/>
        <v>4768000</v>
      </c>
      <c r="T30" s="50">
        <f>T26</f>
        <v>35778322</v>
      </c>
      <c r="U30" s="50">
        <f t="shared" si="22"/>
        <v>298000</v>
      </c>
      <c r="V30" s="50">
        <f t="shared" si="22"/>
        <v>12315644.1998</v>
      </c>
      <c r="W30" s="48"/>
      <c r="X30" s="48"/>
      <c r="Y30" s="48"/>
      <c r="Z30" s="52">
        <f>SUM(O30:Y30)</f>
        <v>125106627.6998</v>
      </c>
      <c r="AA30" s="52"/>
    </row>
    <row r="31" spans="1:31" s="9" customFormat="1" ht="21">
      <c r="A31" s="12"/>
      <c r="B31" s="12"/>
      <c r="C31" s="13"/>
      <c r="D31" s="13"/>
      <c r="E31" s="17"/>
      <c r="F31" s="17"/>
      <c r="G31" s="13"/>
      <c r="H31" s="13"/>
      <c r="I31" s="53"/>
      <c r="J31" s="13"/>
      <c r="K31" s="184">
        <f>((E26-E10)*1390000*10.5%)+(E10*1390000*9.5%)</f>
        <v>7562503.5</v>
      </c>
      <c r="L31" s="13"/>
      <c r="M31" s="13"/>
      <c r="N31" s="13"/>
      <c r="O31" s="54"/>
      <c r="P31" s="54"/>
      <c r="Q31" s="54"/>
      <c r="R31" s="54"/>
      <c r="S31" s="54"/>
      <c r="T31" s="54"/>
      <c r="U31" s="54"/>
      <c r="V31" s="55"/>
      <c r="W31" s="56"/>
      <c r="X31" s="56"/>
      <c r="Y31" s="56"/>
      <c r="AA31" s="57"/>
    </row>
    <row r="32" spans="1:31" s="9" customFormat="1" ht="18">
      <c r="A32" s="12"/>
      <c r="B32" s="12"/>
      <c r="C32" s="13"/>
      <c r="D32" s="13"/>
      <c r="E32" s="17"/>
      <c r="F32" s="17"/>
      <c r="G32" s="13"/>
      <c r="H32" s="13"/>
      <c r="I32" s="53"/>
      <c r="J32" s="13"/>
      <c r="K32" s="183">
        <f>E26*1390000</f>
        <v>72683100</v>
      </c>
      <c r="L32" s="13"/>
      <c r="M32" s="13"/>
      <c r="N32" s="13"/>
      <c r="O32" s="252" t="s">
        <v>18</v>
      </c>
      <c r="P32" s="252"/>
      <c r="Q32" s="252"/>
      <c r="R32" s="14"/>
      <c r="S32" s="14">
        <f>7713943+1446729+858912</f>
        <v>10019584</v>
      </c>
      <c r="T32" s="14"/>
      <c r="U32" s="274" t="s">
        <v>148</v>
      </c>
      <c r="V32" s="274"/>
      <c r="W32" s="274"/>
      <c r="X32" s="274"/>
      <c r="Y32" s="274"/>
      <c r="Z32" s="274"/>
      <c r="AA32" s="124"/>
      <c r="AB32" s="51"/>
    </row>
    <row r="33" spans="5:28" s="9" customFormat="1" ht="18">
      <c r="E33" s="16"/>
      <c r="F33" s="16"/>
      <c r="I33" s="19"/>
      <c r="O33" s="20"/>
      <c r="P33" s="20"/>
      <c r="Q33" s="20"/>
      <c r="R33" s="15"/>
      <c r="S33" s="17"/>
      <c r="T33" s="17"/>
      <c r="U33" s="252" t="s">
        <v>19</v>
      </c>
      <c r="V33" s="252"/>
      <c r="W33" s="252"/>
      <c r="X33" s="252"/>
      <c r="Y33" s="252"/>
      <c r="Z33" s="252"/>
      <c r="AA33" s="125"/>
      <c r="AB33" s="18"/>
    </row>
    <row r="34" spans="5:28" s="9" customFormat="1" ht="18">
      <c r="E34" s="16"/>
      <c r="F34" s="16"/>
      <c r="I34" s="19"/>
      <c r="O34" s="20"/>
      <c r="P34" s="20"/>
      <c r="Q34" s="20"/>
      <c r="R34" s="15"/>
      <c r="S34" s="17"/>
      <c r="T34" s="17"/>
      <c r="U34" s="17"/>
      <c r="V34" s="133"/>
      <c r="W34" s="133"/>
      <c r="X34" s="133"/>
      <c r="Y34" s="133"/>
      <c r="Z34" s="133"/>
      <c r="AA34" s="133"/>
    </row>
    <row r="35" spans="5:28" s="9" customFormat="1" ht="18">
      <c r="E35" s="16"/>
      <c r="F35" s="16"/>
      <c r="I35" s="19"/>
      <c r="O35" s="21"/>
      <c r="P35" s="21"/>
      <c r="Q35" s="21"/>
      <c r="R35" s="60"/>
      <c r="S35" s="22"/>
      <c r="T35" s="22"/>
      <c r="U35" s="22"/>
      <c r="V35" s="21"/>
      <c r="W35" s="21"/>
      <c r="X35" s="21"/>
      <c r="Y35" s="21"/>
      <c r="Z35" s="21"/>
      <c r="AA35" s="21"/>
      <c r="AB35" s="18"/>
    </row>
    <row r="36" spans="5:28" s="9" customFormat="1" ht="18">
      <c r="E36" s="16"/>
      <c r="F36" s="16"/>
      <c r="I36" s="19"/>
      <c r="O36" s="21"/>
      <c r="P36" s="21"/>
      <c r="Q36" s="21"/>
      <c r="S36" s="17"/>
      <c r="T36" s="17"/>
      <c r="U36" s="17"/>
      <c r="Z36" s="21"/>
      <c r="AA36" s="21"/>
    </row>
    <row r="37" spans="5:28" s="9" customFormat="1" ht="21">
      <c r="E37" s="17"/>
      <c r="F37" s="17"/>
      <c r="I37" s="19" t="s">
        <v>20</v>
      </c>
      <c r="O37" s="253" t="s">
        <v>39</v>
      </c>
      <c r="P37" s="253"/>
      <c r="Q37" s="253"/>
      <c r="R37" s="21"/>
      <c r="S37" s="21"/>
      <c r="T37" s="21"/>
      <c r="U37" s="21"/>
      <c r="V37" s="254"/>
      <c r="W37" s="254"/>
      <c r="X37" s="254"/>
      <c r="Y37" s="254"/>
      <c r="Z37" s="254"/>
      <c r="AA37" s="254"/>
    </row>
    <row r="39" spans="5:28" ht="21">
      <c r="Z39" s="58"/>
    </row>
    <row r="40" spans="5:28">
      <c r="R40" s="137"/>
      <c r="Z40" s="8"/>
      <c r="AA40" s="8"/>
    </row>
  </sheetData>
  <mergeCells count="43">
    <mergeCell ref="A28:C28"/>
    <mergeCell ref="A29:B29"/>
    <mergeCell ref="A30:B30"/>
    <mergeCell ref="O32:Q32"/>
    <mergeCell ref="U32:Z32"/>
    <mergeCell ref="U33:Z33"/>
    <mergeCell ref="O37:Q37"/>
    <mergeCell ref="V37:AA37"/>
    <mergeCell ref="S8:S9"/>
    <mergeCell ref="T8:T9"/>
    <mergeCell ref="U8:U9"/>
    <mergeCell ref="V8:V9"/>
    <mergeCell ref="P8:P9"/>
    <mergeCell ref="Q8:Q9"/>
    <mergeCell ref="R8:R9"/>
    <mergeCell ref="W7:W9"/>
    <mergeCell ref="X7:X9"/>
    <mergeCell ref="Y7:Y9"/>
    <mergeCell ref="Z7:Z9"/>
    <mergeCell ref="AA7:AA9"/>
    <mergeCell ref="A26:C26"/>
    <mergeCell ref="A27:B27"/>
    <mergeCell ref="M8:M9"/>
    <mergeCell ref="N8:N9"/>
    <mergeCell ref="O8:O9"/>
    <mergeCell ref="E8:E9"/>
    <mergeCell ref="F8:F9"/>
    <mergeCell ref="G8:G9"/>
    <mergeCell ref="H8:H9"/>
    <mergeCell ref="I8:I9"/>
    <mergeCell ref="J8:L8"/>
    <mergeCell ref="A7:A9"/>
    <mergeCell ref="B7:B9"/>
    <mergeCell ref="C7:C9"/>
    <mergeCell ref="D7:D9"/>
    <mergeCell ref="AC7:AC9"/>
    <mergeCell ref="E2:Y2"/>
    <mergeCell ref="E3:Y3"/>
    <mergeCell ref="E5:Y5"/>
    <mergeCell ref="O6:P6"/>
    <mergeCell ref="E7:N7"/>
    <mergeCell ref="O7:V7"/>
    <mergeCell ref="Q6:R6"/>
  </mergeCells>
  <pageMargins left="0" right="0" top="0.5" bottom="0" header="0.5" footer="0.5"/>
  <pageSetup paperSize="9" scale="51" orientation="landscape" verticalDpi="300" r:id="rId1"/>
  <headerFooter alignWithMargins="0"/>
  <colBreaks count="1" manualBreakCount="1">
    <brk id="2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Z54"/>
  <sheetViews>
    <sheetView topLeftCell="H16" workbookViewId="0">
      <selection activeCell="J27" sqref="J27"/>
    </sheetView>
  </sheetViews>
  <sheetFormatPr defaultRowHeight="12.75"/>
  <cols>
    <col min="1" max="1" width="4.28515625" style="3" customWidth="1"/>
    <col min="2" max="2" width="23.140625" style="3" customWidth="1"/>
    <col min="3" max="3" width="10.28515625" style="3" customWidth="1"/>
    <col min="4" max="4" width="7.42578125" style="3" customWidth="1"/>
    <col min="5" max="5" width="6.28515625" style="3" customWidth="1"/>
    <col min="6" max="6" width="6.140625" style="3" customWidth="1"/>
    <col min="7" max="7" width="6.42578125" style="3" customWidth="1"/>
    <col min="8" max="9" width="11.140625" style="3" customWidth="1"/>
    <col min="10" max="10" width="13.7109375" style="3" customWidth="1"/>
    <col min="11" max="11" width="12" style="3" customWidth="1"/>
    <col min="12" max="12" width="14" style="3" customWidth="1"/>
    <col min="13" max="13" width="8.28515625" style="3" customWidth="1"/>
    <col min="14" max="14" width="13.42578125" style="3" customWidth="1"/>
    <col min="15" max="15" width="12.28515625" style="3" customWidth="1"/>
    <col min="16" max="16" width="12.85546875" style="3" customWidth="1"/>
    <col min="17" max="17" width="11.7109375" style="3" customWidth="1"/>
    <col min="18" max="19" width="10.28515625" style="3" customWidth="1"/>
    <col min="20" max="20" width="12.5703125" style="3" customWidth="1"/>
    <col min="21" max="21" width="6.7109375" style="3" customWidth="1"/>
    <col min="22" max="22" width="12" style="3" customWidth="1"/>
    <col min="23" max="23" width="6.140625" style="3" customWidth="1"/>
    <col min="24" max="24" width="15.85546875" style="3" customWidth="1"/>
    <col min="25" max="25" width="13" style="3" customWidth="1"/>
    <col min="26" max="26" width="14.5703125" style="3" customWidth="1"/>
    <col min="27" max="254" width="9.140625" style="3"/>
    <col min="255" max="255" width="4.28515625" style="3" customWidth="1"/>
    <col min="256" max="256" width="22.7109375" style="3" customWidth="1"/>
    <col min="257" max="257" width="10.28515625" style="3" customWidth="1"/>
    <col min="258" max="258" width="7.42578125" style="3" customWidth="1"/>
    <col min="259" max="259" width="6.28515625" style="3" customWidth="1"/>
    <col min="260" max="260" width="6.140625" style="3" customWidth="1"/>
    <col min="261" max="261" width="6.42578125" style="3" customWidth="1"/>
    <col min="262" max="262" width="9.140625" style="3"/>
    <col min="263" max="263" width="10.28515625" style="3" customWidth="1"/>
    <col min="264" max="264" width="8.140625" style="3" customWidth="1"/>
    <col min="265" max="265" width="9.140625" style="3"/>
    <col min="266" max="266" width="14" style="3" customWidth="1"/>
    <col min="267" max="267" width="9.140625" style="3"/>
    <col min="268" max="268" width="13.42578125" style="3" customWidth="1"/>
    <col min="269" max="269" width="10" style="3" customWidth="1"/>
    <col min="270" max="270" width="10.7109375" style="3" customWidth="1"/>
    <col min="271" max="273" width="9.140625" style="3"/>
    <col min="274" max="274" width="10" style="3" customWidth="1"/>
    <col min="275" max="275" width="9.140625" style="3"/>
    <col min="276" max="276" width="10.140625" style="3" customWidth="1"/>
    <col min="277" max="278" width="9.140625" style="3"/>
    <col min="279" max="279" width="12.85546875" style="3" bestFit="1" customWidth="1"/>
    <col min="280" max="280" width="13" style="3" customWidth="1"/>
    <col min="281" max="510" width="9.140625" style="3"/>
    <col min="511" max="511" width="4.28515625" style="3" customWidth="1"/>
    <col min="512" max="512" width="22.7109375" style="3" customWidth="1"/>
    <col min="513" max="513" width="10.28515625" style="3" customWidth="1"/>
    <col min="514" max="514" width="7.42578125" style="3" customWidth="1"/>
    <col min="515" max="515" width="6.28515625" style="3" customWidth="1"/>
    <col min="516" max="516" width="6.140625" style="3" customWidth="1"/>
    <col min="517" max="517" width="6.42578125" style="3" customWidth="1"/>
    <col min="518" max="518" width="9.140625" style="3"/>
    <col min="519" max="519" width="10.28515625" style="3" customWidth="1"/>
    <col min="520" max="520" width="8.140625" style="3" customWidth="1"/>
    <col min="521" max="521" width="9.140625" style="3"/>
    <col min="522" max="522" width="14" style="3" customWidth="1"/>
    <col min="523" max="523" width="9.140625" style="3"/>
    <col min="524" max="524" width="13.42578125" style="3" customWidth="1"/>
    <col min="525" max="525" width="10" style="3" customWidth="1"/>
    <col min="526" max="526" width="10.7109375" style="3" customWidth="1"/>
    <col min="527" max="529" width="9.140625" style="3"/>
    <col min="530" max="530" width="10" style="3" customWidth="1"/>
    <col min="531" max="531" width="9.140625" style="3"/>
    <col min="532" max="532" width="10.140625" style="3" customWidth="1"/>
    <col min="533" max="534" width="9.140625" style="3"/>
    <col min="535" max="535" width="12.85546875" style="3" bestFit="1" customWidth="1"/>
    <col min="536" max="536" width="13" style="3" customWidth="1"/>
    <col min="537" max="766" width="9.140625" style="3"/>
    <col min="767" max="767" width="4.28515625" style="3" customWidth="1"/>
    <col min="768" max="768" width="22.7109375" style="3" customWidth="1"/>
    <col min="769" max="769" width="10.28515625" style="3" customWidth="1"/>
    <col min="770" max="770" width="7.42578125" style="3" customWidth="1"/>
    <col min="771" max="771" width="6.28515625" style="3" customWidth="1"/>
    <col min="772" max="772" width="6.140625" style="3" customWidth="1"/>
    <col min="773" max="773" width="6.42578125" style="3" customWidth="1"/>
    <col min="774" max="774" width="9.140625" style="3"/>
    <col min="775" max="775" width="10.28515625" style="3" customWidth="1"/>
    <col min="776" max="776" width="8.140625" style="3" customWidth="1"/>
    <col min="777" max="777" width="9.140625" style="3"/>
    <col min="778" max="778" width="14" style="3" customWidth="1"/>
    <col min="779" max="779" width="9.140625" style="3"/>
    <col min="780" max="780" width="13.42578125" style="3" customWidth="1"/>
    <col min="781" max="781" width="10" style="3" customWidth="1"/>
    <col min="782" max="782" width="10.7109375" style="3" customWidth="1"/>
    <col min="783" max="785" width="9.140625" style="3"/>
    <col min="786" max="786" width="10" style="3" customWidth="1"/>
    <col min="787" max="787" width="9.140625" style="3"/>
    <col min="788" max="788" width="10.140625" style="3" customWidth="1"/>
    <col min="789" max="790" width="9.140625" style="3"/>
    <col min="791" max="791" width="12.85546875" style="3" bestFit="1" customWidth="1"/>
    <col min="792" max="792" width="13" style="3" customWidth="1"/>
    <col min="793" max="1022" width="9.140625" style="3"/>
    <col min="1023" max="1023" width="4.28515625" style="3" customWidth="1"/>
    <col min="1024" max="1024" width="22.7109375" style="3" customWidth="1"/>
    <col min="1025" max="1025" width="10.28515625" style="3" customWidth="1"/>
    <col min="1026" max="1026" width="7.42578125" style="3" customWidth="1"/>
    <col min="1027" max="1027" width="6.28515625" style="3" customWidth="1"/>
    <col min="1028" max="1028" width="6.140625" style="3" customWidth="1"/>
    <col min="1029" max="1029" width="6.42578125" style="3" customWidth="1"/>
    <col min="1030" max="1030" width="9.140625" style="3"/>
    <col min="1031" max="1031" width="10.28515625" style="3" customWidth="1"/>
    <col min="1032" max="1032" width="8.140625" style="3" customWidth="1"/>
    <col min="1033" max="1033" width="9.140625" style="3"/>
    <col min="1034" max="1034" width="14" style="3" customWidth="1"/>
    <col min="1035" max="1035" width="9.140625" style="3"/>
    <col min="1036" max="1036" width="13.42578125" style="3" customWidth="1"/>
    <col min="1037" max="1037" width="10" style="3" customWidth="1"/>
    <col min="1038" max="1038" width="10.7109375" style="3" customWidth="1"/>
    <col min="1039" max="1041" width="9.140625" style="3"/>
    <col min="1042" max="1042" width="10" style="3" customWidth="1"/>
    <col min="1043" max="1043" width="9.140625" style="3"/>
    <col min="1044" max="1044" width="10.140625" style="3" customWidth="1"/>
    <col min="1045" max="1046" width="9.140625" style="3"/>
    <col min="1047" max="1047" width="12.85546875" style="3" bestFit="1" customWidth="1"/>
    <col min="1048" max="1048" width="13" style="3" customWidth="1"/>
    <col min="1049" max="1278" width="9.140625" style="3"/>
    <col min="1279" max="1279" width="4.28515625" style="3" customWidth="1"/>
    <col min="1280" max="1280" width="22.7109375" style="3" customWidth="1"/>
    <col min="1281" max="1281" width="10.28515625" style="3" customWidth="1"/>
    <col min="1282" max="1282" width="7.42578125" style="3" customWidth="1"/>
    <col min="1283" max="1283" width="6.28515625" style="3" customWidth="1"/>
    <col min="1284" max="1284" width="6.140625" style="3" customWidth="1"/>
    <col min="1285" max="1285" width="6.42578125" style="3" customWidth="1"/>
    <col min="1286" max="1286" width="9.140625" style="3"/>
    <col min="1287" max="1287" width="10.28515625" style="3" customWidth="1"/>
    <col min="1288" max="1288" width="8.140625" style="3" customWidth="1"/>
    <col min="1289" max="1289" width="9.140625" style="3"/>
    <col min="1290" max="1290" width="14" style="3" customWidth="1"/>
    <col min="1291" max="1291" width="9.140625" style="3"/>
    <col min="1292" max="1292" width="13.42578125" style="3" customWidth="1"/>
    <col min="1293" max="1293" width="10" style="3" customWidth="1"/>
    <col min="1294" max="1294" width="10.7109375" style="3" customWidth="1"/>
    <col min="1295" max="1297" width="9.140625" style="3"/>
    <col min="1298" max="1298" width="10" style="3" customWidth="1"/>
    <col min="1299" max="1299" width="9.140625" style="3"/>
    <col min="1300" max="1300" width="10.140625" style="3" customWidth="1"/>
    <col min="1301" max="1302" width="9.140625" style="3"/>
    <col min="1303" max="1303" width="12.85546875" style="3" bestFit="1" customWidth="1"/>
    <col min="1304" max="1304" width="13" style="3" customWidth="1"/>
    <col min="1305" max="1534" width="9.140625" style="3"/>
    <col min="1535" max="1535" width="4.28515625" style="3" customWidth="1"/>
    <col min="1536" max="1536" width="22.7109375" style="3" customWidth="1"/>
    <col min="1537" max="1537" width="10.28515625" style="3" customWidth="1"/>
    <col min="1538" max="1538" width="7.42578125" style="3" customWidth="1"/>
    <col min="1539" max="1539" width="6.28515625" style="3" customWidth="1"/>
    <col min="1540" max="1540" width="6.140625" style="3" customWidth="1"/>
    <col min="1541" max="1541" width="6.42578125" style="3" customWidth="1"/>
    <col min="1542" max="1542" width="9.140625" style="3"/>
    <col min="1543" max="1543" width="10.28515625" style="3" customWidth="1"/>
    <col min="1544" max="1544" width="8.140625" style="3" customWidth="1"/>
    <col min="1545" max="1545" width="9.140625" style="3"/>
    <col min="1546" max="1546" width="14" style="3" customWidth="1"/>
    <col min="1547" max="1547" width="9.140625" style="3"/>
    <col min="1548" max="1548" width="13.42578125" style="3" customWidth="1"/>
    <col min="1549" max="1549" width="10" style="3" customWidth="1"/>
    <col min="1550" max="1550" width="10.7109375" style="3" customWidth="1"/>
    <col min="1551" max="1553" width="9.140625" style="3"/>
    <col min="1554" max="1554" width="10" style="3" customWidth="1"/>
    <col min="1555" max="1555" width="9.140625" style="3"/>
    <col min="1556" max="1556" width="10.140625" style="3" customWidth="1"/>
    <col min="1557" max="1558" width="9.140625" style="3"/>
    <col min="1559" max="1559" width="12.85546875" style="3" bestFit="1" customWidth="1"/>
    <col min="1560" max="1560" width="13" style="3" customWidth="1"/>
    <col min="1561" max="1790" width="9.140625" style="3"/>
    <col min="1791" max="1791" width="4.28515625" style="3" customWidth="1"/>
    <col min="1792" max="1792" width="22.7109375" style="3" customWidth="1"/>
    <col min="1793" max="1793" width="10.28515625" style="3" customWidth="1"/>
    <col min="1794" max="1794" width="7.42578125" style="3" customWidth="1"/>
    <col min="1795" max="1795" width="6.28515625" style="3" customWidth="1"/>
    <col min="1796" max="1796" width="6.140625" style="3" customWidth="1"/>
    <col min="1797" max="1797" width="6.42578125" style="3" customWidth="1"/>
    <col min="1798" max="1798" width="9.140625" style="3"/>
    <col min="1799" max="1799" width="10.28515625" style="3" customWidth="1"/>
    <col min="1800" max="1800" width="8.140625" style="3" customWidth="1"/>
    <col min="1801" max="1801" width="9.140625" style="3"/>
    <col min="1802" max="1802" width="14" style="3" customWidth="1"/>
    <col min="1803" max="1803" width="9.140625" style="3"/>
    <col min="1804" max="1804" width="13.42578125" style="3" customWidth="1"/>
    <col min="1805" max="1805" width="10" style="3" customWidth="1"/>
    <col min="1806" max="1806" width="10.7109375" style="3" customWidth="1"/>
    <col min="1807" max="1809" width="9.140625" style="3"/>
    <col min="1810" max="1810" width="10" style="3" customWidth="1"/>
    <col min="1811" max="1811" width="9.140625" style="3"/>
    <col min="1812" max="1812" width="10.140625" style="3" customWidth="1"/>
    <col min="1813" max="1814" width="9.140625" style="3"/>
    <col min="1815" max="1815" width="12.85546875" style="3" bestFit="1" customWidth="1"/>
    <col min="1816" max="1816" width="13" style="3" customWidth="1"/>
    <col min="1817" max="2046" width="9.140625" style="3"/>
    <col min="2047" max="2047" width="4.28515625" style="3" customWidth="1"/>
    <col min="2048" max="2048" width="22.7109375" style="3" customWidth="1"/>
    <col min="2049" max="2049" width="10.28515625" style="3" customWidth="1"/>
    <col min="2050" max="2050" width="7.42578125" style="3" customWidth="1"/>
    <col min="2051" max="2051" width="6.28515625" style="3" customWidth="1"/>
    <col min="2052" max="2052" width="6.140625" style="3" customWidth="1"/>
    <col min="2053" max="2053" width="6.42578125" style="3" customWidth="1"/>
    <col min="2054" max="2054" width="9.140625" style="3"/>
    <col min="2055" max="2055" width="10.28515625" style="3" customWidth="1"/>
    <col min="2056" max="2056" width="8.140625" style="3" customWidth="1"/>
    <col min="2057" max="2057" width="9.140625" style="3"/>
    <col min="2058" max="2058" width="14" style="3" customWidth="1"/>
    <col min="2059" max="2059" width="9.140625" style="3"/>
    <col min="2060" max="2060" width="13.42578125" style="3" customWidth="1"/>
    <col min="2061" max="2061" width="10" style="3" customWidth="1"/>
    <col min="2062" max="2062" width="10.7109375" style="3" customWidth="1"/>
    <col min="2063" max="2065" width="9.140625" style="3"/>
    <col min="2066" max="2066" width="10" style="3" customWidth="1"/>
    <col min="2067" max="2067" width="9.140625" style="3"/>
    <col min="2068" max="2068" width="10.140625" style="3" customWidth="1"/>
    <col min="2069" max="2070" width="9.140625" style="3"/>
    <col min="2071" max="2071" width="12.85546875" style="3" bestFit="1" customWidth="1"/>
    <col min="2072" max="2072" width="13" style="3" customWidth="1"/>
    <col min="2073" max="2302" width="9.140625" style="3"/>
    <col min="2303" max="2303" width="4.28515625" style="3" customWidth="1"/>
    <col min="2304" max="2304" width="22.7109375" style="3" customWidth="1"/>
    <col min="2305" max="2305" width="10.28515625" style="3" customWidth="1"/>
    <col min="2306" max="2306" width="7.42578125" style="3" customWidth="1"/>
    <col min="2307" max="2307" width="6.28515625" style="3" customWidth="1"/>
    <col min="2308" max="2308" width="6.140625" style="3" customWidth="1"/>
    <col min="2309" max="2309" width="6.42578125" style="3" customWidth="1"/>
    <col min="2310" max="2310" width="9.140625" style="3"/>
    <col min="2311" max="2311" width="10.28515625" style="3" customWidth="1"/>
    <col min="2312" max="2312" width="8.140625" style="3" customWidth="1"/>
    <col min="2313" max="2313" width="9.140625" style="3"/>
    <col min="2314" max="2314" width="14" style="3" customWidth="1"/>
    <col min="2315" max="2315" width="9.140625" style="3"/>
    <col min="2316" max="2316" width="13.42578125" style="3" customWidth="1"/>
    <col min="2317" max="2317" width="10" style="3" customWidth="1"/>
    <col min="2318" max="2318" width="10.7109375" style="3" customWidth="1"/>
    <col min="2319" max="2321" width="9.140625" style="3"/>
    <col min="2322" max="2322" width="10" style="3" customWidth="1"/>
    <col min="2323" max="2323" width="9.140625" style="3"/>
    <col min="2324" max="2324" width="10.140625" style="3" customWidth="1"/>
    <col min="2325" max="2326" width="9.140625" style="3"/>
    <col min="2327" max="2327" width="12.85546875" style="3" bestFit="1" customWidth="1"/>
    <col min="2328" max="2328" width="13" style="3" customWidth="1"/>
    <col min="2329" max="2558" width="9.140625" style="3"/>
    <col min="2559" max="2559" width="4.28515625" style="3" customWidth="1"/>
    <col min="2560" max="2560" width="22.7109375" style="3" customWidth="1"/>
    <col min="2561" max="2561" width="10.28515625" style="3" customWidth="1"/>
    <col min="2562" max="2562" width="7.42578125" style="3" customWidth="1"/>
    <col min="2563" max="2563" width="6.28515625" style="3" customWidth="1"/>
    <col min="2564" max="2564" width="6.140625" style="3" customWidth="1"/>
    <col min="2565" max="2565" width="6.42578125" style="3" customWidth="1"/>
    <col min="2566" max="2566" width="9.140625" style="3"/>
    <col min="2567" max="2567" width="10.28515625" style="3" customWidth="1"/>
    <col min="2568" max="2568" width="8.140625" style="3" customWidth="1"/>
    <col min="2569" max="2569" width="9.140625" style="3"/>
    <col min="2570" max="2570" width="14" style="3" customWidth="1"/>
    <col min="2571" max="2571" width="9.140625" style="3"/>
    <col min="2572" max="2572" width="13.42578125" style="3" customWidth="1"/>
    <col min="2573" max="2573" width="10" style="3" customWidth="1"/>
    <col min="2574" max="2574" width="10.7109375" style="3" customWidth="1"/>
    <col min="2575" max="2577" width="9.140625" style="3"/>
    <col min="2578" max="2578" width="10" style="3" customWidth="1"/>
    <col min="2579" max="2579" width="9.140625" style="3"/>
    <col min="2580" max="2580" width="10.140625" style="3" customWidth="1"/>
    <col min="2581" max="2582" width="9.140625" style="3"/>
    <col min="2583" max="2583" width="12.85546875" style="3" bestFit="1" customWidth="1"/>
    <col min="2584" max="2584" width="13" style="3" customWidth="1"/>
    <col min="2585" max="2814" width="9.140625" style="3"/>
    <col min="2815" max="2815" width="4.28515625" style="3" customWidth="1"/>
    <col min="2816" max="2816" width="22.7109375" style="3" customWidth="1"/>
    <col min="2817" max="2817" width="10.28515625" style="3" customWidth="1"/>
    <col min="2818" max="2818" width="7.42578125" style="3" customWidth="1"/>
    <col min="2819" max="2819" width="6.28515625" style="3" customWidth="1"/>
    <col min="2820" max="2820" width="6.140625" style="3" customWidth="1"/>
    <col min="2821" max="2821" width="6.42578125" style="3" customWidth="1"/>
    <col min="2822" max="2822" width="9.140625" style="3"/>
    <col min="2823" max="2823" width="10.28515625" style="3" customWidth="1"/>
    <col min="2824" max="2824" width="8.140625" style="3" customWidth="1"/>
    <col min="2825" max="2825" width="9.140625" style="3"/>
    <col min="2826" max="2826" width="14" style="3" customWidth="1"/>
    <col min="2827" max="2827" width="9.140625" style="3"/>
    <col min="2828" max="2828" width="13.42578125" style="3" customWidth="1"/>
    <col min="2829" max="2829" width="10" style="3" customWidth="1"/>
    <col min="2830" max="2830" width="10.7109375" style="3" customWidth="1"/>
    <col min="2831" max="2833" width="9.140625" style="3"/>
    <col min="2834" max="2834" width="10" style="3" customWidth="1"/>
    <col min="2835" max="2835" width="9.140625" style="3"/>
    <col min="2836" max="2836" width="10.140625" style="3" customWidth="1"/>
    <col min="2837" max="2838" width="9.140625" style="3"/>
    <col min="2839" max="2839" width="12.85546875" style="3" bestFit="1" customWidth="1"/>
    <col min="2840" max="2840" width="13" style="3" customWidth="1"/>
    <col min="2841" max="3070" width="9.140625" style="3"/>
    <col min="3071" max="3071" width="4.28515625" style="3" customWidth="1"/>
    <col min="3072" max="3072" width="22.7109375" style="3" customWidth="1"/>
    <col min="3073" max="3073" width="10.28515625" style="3" customWidth="1"/>
    <col min="3074" max="3074" width="7.42578125" style="3" customWidth="1"/>
    <col min="3075" max="3075" width="6.28515625" style="3" customWidth="1"/>
    <col min="3076" max="3076" width="6.140625" style="3" customWidth="1"/>
    <col min="3077" max="3077" width="6.42578125" style="3" customWidth="1"/>
    <col min="3078" max="3078" width="9.140625" style="3"/>
    <col min="3079" max="3079" width="10.28515625" style="3" customWidth="1"/>
    <col min="3080" max="3080" width="8.140625" style="3" customWidth="1"/>
    <col min="3081" max="3081" width="9.140625" style="3"/>
    <col min="3082" max="3082" width="14" style="3" customWidth="1"/>
    <col min="3083" max="3083" width="9.140625" style="3"/>
    <col min="3084" max="3084" width="13.42578125" style="3" customWidth="1"/>
    <col min="3085" max="3085" width="10" style="3" customWidth="1"/>
    <col min="3086" max="3086" width="10.7109375" style="3" customWidth="1"/>
    <col min="3087" max="3089" width="9.140625" style="3"/>
    <col min="3090" max="3090" width="10" style="3" customWidth="1"/>
    <col min="3091" max="3091" width="9.140625" style="3"/>
    <col min="3092" max="3092" width="10.140625" style="3" customWidth="1"/>
    <col min="3093" max="3094" width="9.140625" style="3"/>
    <col min="3095" max="3095" width="12.85546875" style="3" bestFit="1" customWidth="1"/>
    <col min="3096" max="3096" width="13" style="3" customWidth="1"/>
    <col min="3097" max="3326" width="9.140625" style="3"/>
    <col min="3327" max="3327" width="4.28515625" style="3" customWidth="1"/>
    <col min="3328" max="3328" width="22.7109375" style="3" customWidth="1"/>
    <col min="3329" max="3329" width="10.28515625" style="3" customWidth="1"/>
    <col min="3330" max="3330" width="7.42578125" style="3" customWidth="1"/>
    <col min="3331" max="3331" width="6.28515625" style="3" customWidth="1"/>
    <col min="3332" max="3332" width="6.140625" style="3" customWidth="1"/>
    <col min="3333" max="3333" width="6.42578125" style="3" customWidth="1"/>
    <col min="3334" max="3334" width="9.140625" style="3"/>
    <col min="3335" max="3335" width="10.28515625" style="3" customWidth="1"/>
    <col min="3336" max="3336" width="8.140625" style="3" customWidth="1"/>
    <col min="3337" max="3337" width="9.140625" style="3"/>
    <col min="3338" max="3338" width="14" style="3" customWidth="1"/>
    <col min="3339" max="3339" width="9.140625" style="3"/>
    <col min="3340" max="3340" width="13.42578125" style="3" customWidth="1"/>
    <col min="3341" max="3341" width="10" style="3" customWidth="1"/>
    <col min="3342" max="3342" width="10.7109375" style="3" customWidth="1"/>
    <col min="3343" max="3345" width="9.140625" style="3"/>
    <col min="3346" max="3346" width="10" style="3" customWidth="1"/>
    <col min="3347" max="3347" width="9.140625" style="3"/>
    <col min="3348" max="3348" width="10.140625" style="3" customWidth="1"/>
    <col min="3349" max="3350" width="9.140625" style="3"/>
    <col min="3351" max="3351" width="12.85546875" style="3" bestFit="1" customWidth="1"/>
    <col min="3352" max="3352" width="13" style="3" customWidth="1"/>
    <col min="3353" max="3582" width="9.140625" style="3"/>
    <col min="3583" max="3583" width="4.28515625" style="3" customWidth="1"/>
    <col min="3584" max="3584" width="22.7109375" style="3" customWidth="1"/>
    <col min="3585" max="3585" width="10.28515625" style="3" customWidth="1"/>
    <col min="3586" max="3586" width="7.42578125" style="3" customWidth="1"/>
    <col min="3587" max="3587" width="6.28515625" style="3" customWidth="1"/>
    <col min="3588" max="3588" width="6.140625" style="3" customWidth="1"/>
    <col min="3589" max="3589" width="6.42578125" style="3" customWidth="1"/>
    <col min="3590" max="3590" width="9.140625" style="3"/>
    <col min="3591" max="3591" width="10.28515625" style="3" customWidth="1"/>
    <col min="3592" max="3592" width="8.140625" style="3" customWidth="1"/>
    <col min="3593" max="3593" width="9.140625" style="3"/>
    <col min="3594" max="3594" width="14" style="3" customWidth="1"/>
    <col min="3595" max="3595" width="9.140625" style="3"/>
    <col min="3596" max="3596" width="13.42578125" style="3" customWidth="1"/>
    <col min="3597" max="3597" width="10" style="3" customWidth="1"/>
    <col min="3598" max="3598" width="10.7109375" style="3" customWidth="1"/>
    <col min="3599" max="3601" width="9.140625" style="3"/>
    <col min="3602" max="3602" width="10" style="3" customWidth="1"/>
    <col min="3603" max="3603" width="9.140625" style="3"/>
    <col min="3604" max="3604" width="10.140625" style="3" customWidth="1"/>
    <col min="3605" max="3606" width="9.140625" style="3"/>
    <col min="3607" max="3607" width="12.85546875" style="3" bestFit="1" customWidth="1"/>
    <col min="3608" max="3608" width="13" style="3" customWidth="1"/>
    <col min="3609" max="3838" width="9.140625" style="3"/>
    <col min="3839" max="3839" width="4.28515625" style="3" customWidth="1"/>
    <col min="3840" max="3840" width="22.7109375" style="3" customWidth="1"/>
    <col min="3841" max="3841" width="10.28515625" style="3" customWidth="1"/>
    <col min="3842" max="3842" width="7.42578125" style="3" customWidth="1"/>
    <col min="3843" max="3843" width="6.28515625" style="3" customWidth="1"/>
    <col min="3844" max="3844" width="6.140625" style="3" customWidth="1"/>
    <col min="3845" max="3845" width="6.42578125" style="3" customWidth="1"/>
    <col min="3846" max="3846" width="9.140625" style="3"/>
    <col min="3847" max="3847" width="10.28515625" style="3" customWidth="1"/>
    <col min="3848" max="3848" width="8.140625" style="3" customWidth="1"/>
    <col min="3849" max="3849" width="9.140625" style="3"/>
    <col min="3850" max="3850" width="14" style="3" customWidth="1"/>
    <col min="3851" max="3851" width="9.140625" style="3"/>
    <col min="3852" max="3852" width="13.42578125" style="3" customWidth="1"/>
    <col min="3853" max="3853" width="10" style="3" customWidth="1"/>
    <col min="3854" max="3854" width="10.7109375" style="3" customWidth="1"/>
    <col min="3855" max="3857" width="9.140625" style="3"/>
    <col min="3858" max="3858" width="10" style="3" customWidth="1"/>
    <col min="3859" max="3859" width="9.140625" style="3"/>
    <col min="3860" max="3860" width="10.140625" style="3" customWidth="1"/>
    <col min="3861" max="3862" width="9.140625" style="3"/>
    <col min="3863" max="3863" width="12.85546875" style="3" bestFit="1" customWidth="1"/>
    <col min="3864" max="3864" width="13" style="3" customWidth="1"/>
    <col min="3865" max="4094" width="9.140625" style="3"/>
    <col min="4095" max="4095" width="4.28515625" style="3" customWidth="1"/>
    <col min="4096" max="4096" width="22.7109375" style="3" customWidth="1"/>
    <col min="4097" max="4097" width="10.28515625" style="3" customWidth="1"/>
    <col min="4098" max="4098" width="7.42578125" style="3" customWidth="1"/>
    <col min="4099" max="4099" width="6.28515625" style="3" customWidth="1"/>
    <col min="4100" max="4100" width="6.140625" style="3" customWidth="1"/>
    <col min="4101" max="4101" width="6.42578125" style="3" customWidth="1"/>
    <col min="4102" max="4102" width="9.140625" style="3"/>
    <col min="4103" max="4103" width="10.28515625" style="3" customWidth="1"/>
    <col min="4104" max="4104" width="8.140625" style="3" customWidth="1"/>
    <col min="4105" max="4105" width="9.140625" style="3"/>
    <col min="4106" max="4106" width="14" style="3" customWidth="1"/>
    <col min="4107" max="4107" width="9.140625" style="3"/>
    <col min="4108" max="4108" width="13.42578125" style="3" customWidth="1"/>
    <col min="4109" max="4109" width="10" style="3" customWidth="1"/>
    <col min="4110" max="4110" width="10.7109375" style="3" customWidth="1"/>
    <col min="4111" max="4113" width="9.140625" style="3"/>
    <col min="4114" max="4114" width="10" style="3" customWidth="1"/>
    <col min="4115" max="4115" width="9.140625" style="3"/>
    <col min="4116" max="4116" width="10.140625" style="3" customWidth="1"/>
    <col min="4117" max="4118" width="9.140625" style="3"/>
    <col min="4119" max="4119" width="12.85546875" style="3" bestFit="1" customWidth="1"/>
    <col min="4120" max="4120" width="13" style="3" customWidth="1"/>
    <col min="4121" max="4350" width="9.140625" style="3"/>
    <col min="4351" max="4351" width="4.28515625" style="3" customWidth="1"/>
    <col min="4352" max="4352" width="22.7109375" style="3" customWidth="1"/>
    <col min="4353" max="4353" width="10.28515625" style="3" customWidth="1"/>
    <col min="4354" max="4354" width="7.42578125" style="3" customWidth="1"/>
    <col min="4355" max="4355" width="6.28515625" style="3" customWidth="1"/>
    <col min="4356" max="4356" width="6.140625" style="3" customWidth="1"/>
    <col min="4357" max="4357" width="6.42578125" style="3" customWidth="1"/>
    <col min="4358" max="4358" width="9.140625" style="3"/>
    <col min="4359" max="4359" width="10.28515625" style="3" customWidth="1"/>
    <col min="4360" max="4360" width="8.140625" style="3" customWidth="1"/>
    <col min="4361" max="4361" width="9.140625" style="3"/>
    <col min="4362" max="4362" width="14" style="3" customWidth="1"/>
    <col min="4363" max="4363" width="9.140625" style="3"/>
    <col min="4364" max="4364" width="13.42578125" style="3" customWidth="1"/>
    <col min="4365" max="4365" width="10" style="3" customWidth="1"/>
    <col min="4366" max="4366" width="10.7109375" style="3" customWidth="1"/>
    <col min="4367" max="4369" width="9.140625" style="3"/>
    <col min="4370" max="4370" width="10" style="3" customWidth="1"/>
    <col min="4371" max="4371" width="9.140625" style="3"/>
    <col min="4372" max="4372" width="10.140625" style="3" customWidth="1"/>
    <col min="4373" max="4374" width="9.140625" style="3"/>
    <col min="4375" max="4375" width="12.85546875" style="3" bestFit="1" customWidth="1"/>
    <col min="4376" max="4376" width="13" style="3" customWidth="1"/>
    <col min="4377" max="4606" width="9.140625" style="3"/>
    <col min="4607" max="4607" width="4.28515625" style="3" customWidth="1"/>
    <col min="4608" max="4608" width="22.7109375" style="3" customWidth="1"/>
    <col min="4609" max="4609" width="10.28515625" style="3" customWidth="1"/>
    <col min="4610" max="4610" width="7.42578125" style="3" customWidth="1"/>
    <col min="4611" max="4611" width="6.28515625" style="3" customWidth="1"/>
    <col min="4612" max="4612" width="6.140625" style="3" customWidth="1"/>
    <col min="4613" max="4613" width="6.42578125" style="3" customWidth="1"/>
    <col min="4614" max="4614" width="9.140625" style="3"/>
    <col min="4615" max="4615" width="10.28515625" style="3" customWidth="1"/>
    <col min="4616" max="4616" width="8.140625" style="3" customWidth="1"/>
    <col min="4617" max="4617" width="9.140625" style="3"/>
    <col min="4618" max="4618" width="14" style="3" customWidth="1"/>
    <col min="4619" max="4619" width="9.140625" style="3"/>
    <col min="4620" max="4620" width="13.42578125" style="3" customWidth="1"/>
    <col min="4621" max="4621" width="10" style="3" customWidth="1"/>
    <col min="4622" max="4622" width="10.7109375" style="3" customWidth="1"/>
    <col min="4623" max="4625" width="9.140625" style="3"/>
    <col min="4626" max="4626" width="10" style="3" customWidth="1"/>
    <col min="4627" max="4627" width="9.140625" style="3"/>
    <col min="4628" max="4628" width="10.140625" style="3" customWidth="1"/>
    <col min="4629" max="4630" width="9.140625" style="3"/>
    <col min="4631" max="4631" width="12.85546875" style="3" bestFit="1" customWidth="1"/>
    <col min="4632" max="4632" width="13" style="3" customWidth="1"/>
    <col min="4633" max="4862" width="9.140625" style="3"/>
    <col min="4863" max="4863" width="4.28515625" style="3" customWidth="1"/>
    <col min="4864" max="4864" width="22.7109375" style="3" customWidth="1"/>
    <col min="4865" max="4865" width="10.28515625" style="3" customWidth="1"/>
    <col min="4866" max="4866" width="7.42578125" style="3" customWidth="1"/>
    <col min="4867" max="4867" width="6.28515625" style="3" customWidth="1"/>
    <col min="4868" max="4868" width="6.140625" style="3" customWidth="1"/>
    <col min="4869" max="4869" width="6.42578125" style="3" customWidth="1"/>
    <col min="4870" max="4870" width="9.140625" style="3"/>
    <col min="4871" max="4871" width="10.28515625" style="3" customWidth="1"/>
    <col min="4872" max="4872" width="8.140625" style="3" customWidth="1"/>
    <col min="4873" max="4873" width="9.140625" style="3"/>
    <col min="4874" max="4874" width="14" style="3" customWidth="1"/>
    <col min="4875" max="4875" width="9.140625" style="3"/>
    <col min="4876" max="4876" width="13.42578125" style="3" customWidth="1"/>
    <col min="4877" max="4877" width="10" style="3" customWidth="1"/>
    <col min="4878" max="4878" width="10.7109375" style="3" customWidth="1"/>
    <col min="4879" max="4881" width="9.140625" style="3"/>
    <col min="4882" max="4882" width="10" style="3" customWidth="1"/>
    <col min="4883" max="4883" width="9.140625" style="3"/>
    <col min="4884" max="4884" width="10.140625" style="3" customWidth="1"/>
    <col min="4885" max="4886" width="9.140625" style="3"/>
    <col min="4887" max="4887" width="12.85546875" style="3" bestFit="1" customWidth="1"/>
    <col min="4888" max="4888" width="13" style="3" customWidth="1"/>
    <col min="4889" max="5118" width="9.140625" style="3"/>
    <col min="5119" max="5119" width="4.28515625" style="3" customWidth="1"/>
    <col min="5120" max="5120" width="22.7109375" style="3" customWidth="1"/>
    <col min="5121" max="5121" width="10.28515625" style="3" customWidth="1"/>
    <col min="5122" max="5122" width="7.42578125" style="3" customWidth="1"/>
    <col min="5123" max="5123" width="6.28515625" style="3" customWidth="1"/>
    <col min="5124" max="5124" width="6.140625" style="3" customWidth="1"/>
    <col min="5125" max="5125" width="6.42578125" style="3" customWidth="1"/>
    <col min="5126" max="5126" width="9.140625" style="3"/>
    <col min="5127" max="5127" width="10.28515625" style="3" customWidth="1"/>
    <col min="5128" max="5128" width="8.140625" style="3" customWidth="1"/>
    <col min="5129" max="5129" width="9.140625" style="3"/>
    <col min="5130" max="5130" width="14" style="3" customWidth="1"/>
    <col min="5131" max="5131" width="9.140625" style="3"/>
    <col min="5132" max="5132" width="13.42578125" style="3" customWidth="1"/>
    <col min="5133" max="5133" width="10" style="3" customWidth="1"/>
    <col min="5134" max="5134" width="10.7109375" style="3" customWidth="1"/>
    <col min="5135" max="5137" width="9.140625" style="3"/>
    <col min="5138" max="5138" width="10" style="3" customWidth="1"/>
    <col min="5139" max="5139" width="9.140625" style="3"/>
    <col min="5140" max="5140" width="10.140625" style="3" customWidth="1"/>
    <col min="5141" max="5142" width="9.140625" style="3"/>
    <col min="5143" max="5143" width="12.85546875" style="3" bestFit="1" customWidth="1"/>
    <col min="5144" max="5144" width="13" style="3" customWidth="1"/>
    <col min="5145" max="5374" width="9.140625" style="3"/>
    <col min="5375" max="5375" width="4.28515625" style="3" customWidth="1"/>
    <col min="5376" max="5376" width="22.7109375" style="3" customWidth="1"/>
    <col min="5377" max="5377" width="10.28515625" style="3" customWidth="1"/>
    <col min="5378" max="5378" width="7.42578125" style="3" customWidth="1"/>
    <col min="5379" max="5379" width="6.28515625" style="3" customWidth="1"/>
    <col min="5380" max="5380" width="6.140625" style="3" customWidth="1"/>
    <col min="5381" max="5381" width="6.42578125" style="3" customWidth="1"/>
    <col min="5382" max="5382" width="9.140625" style="3"/>
    <col min="5383" max="5383" width="10.28515625" style="3" customWidth="1"/>
    <col min="5384" max="5384" width="8.140625" style="3" customWidth="1"/>
    <col min="5385" max="5385" width="9.140625" style="3"/>
    <col min="5386" max="5386" width="14" style="3" customWidth="1"/>
    <col min="5387" max="5387" width="9.140625" style="3"/>
    <col min="5388" max="5388" width="13.42578125" style="3" customWidth="1"/>
    <col min="5389" max="5389" width="10" style="3" customWidth="1"/>
    <col min="5390" max="5390" width="10.7109375" style="3" customWidth="1"/>
    <col min="5391" max="5393" width="9.140625" style="3"/>
    <col min="5394" max="5394" width="10" style="3" customWidth="1"/>
    <col min="5395" max="5395" width="9.140625" style="3"/>
    <col min="5396" max="5396" width="10.140625" style="3" customWidth="1"/>
    <col min="5397" max="5398" width="9.140625" style="3"/>
    <col min="5399" max="5399" width="12.85546875" style="3" bestFit="1" customWidth="1"/>
    <col min="5400" max="5400" width="13" style="3" customWidth="1"/>
    <col min="5401" max="5630" width="9.140625" style="3"/>
    <col min="5631" max="5631" width="4.28515625" style="3" customWidth="1"/>
    <col min="5632" max="5632" width="22.7109375" style="3" customWidth="1"/>
    <col min="5633" max="5633" width="10.28515625" style="3" customWidth="1"/>
    <col min="5634" max="5634" width="7.42578125" style="3" customWidth="1"/>
    <col min="5635" max="5635" width="6.28515625" style="3" customWidth="1"/>
    <col min="5636" max="5636" width="6.140625" style="3" customWidth="1"/>
    <col min="5637" max="5637" width="6.42578125" style="3" customWidth="1"/>
    <col min="5638" max="5638" width="9.140625" style="3"/>
    <col min="5639" max="5639" width="10.28515625" style="3" customWidth="1"/>
    <col min="5640" max="5640" width="8.140625" style="3" customWidth="1"/>
    <col min="5641" max="5641" width="9.140625" style="3"/>
    <col min="5642" max="5642" width="14" style="3" customWidth="1"/>
    <col min="5643" max="5643" width="9.140625" style="3"/>
    <col min="5644" max="5644" width="13.42578125" style="3" customWidth="1"/>
    <col min="5645" max="5645" width="10" style="3" customWidth="1"/>
    <col min="5646" max="5646" width="10.7109375" style="3" customWidth="1"/>
    <col min="5647" max="5649" width="9.140625" style="3"/>
    <col min="5650" max="5650" width="10" style="3" customWidth="1"/>
    <col min="5651" max="5651" width="9.140625" style="3"/>
    <col min="5652" max="5652" width="10.140625" style="3" customWidth="1"/>
    <col min="5653" max="5654" width="9.140625" style="3"/>
    <col min="5655" max="5655" width="12.85546875" style="3" bestFit="1" customWidth="1"/>
    <col min="5656" max="5656" width="13" style="3" customWidth="1"/>
    <col min="5657" max="5886" width="9.140625" style="3"/>
    <col min="5887" max="5887" width="4.28515625" style="3" customWidth="1"/>
    <col min="5888" max="5888" width="22.7109375" style="3" customWidth="1"/>
    <col min="5889" max="5889" width="10.28515625" style="3" customWidth="1"/>
    <col min="5890" max="5890" width="7.42578125" style="3" customWidth="1"/>
    <col min="5891" max="5891" width="6.28515625" style="3" customWidth="1"/>
    <col min="5892" max="5892" width="6.140625" style="3" customWidth="1"/>
    <col min="5893" max="5893" width="6.42578125" style="3" customWidth="1"/>
    <col min="5894" max="5894" width="9.140625" style="3"/>
    <col min="5895" max="5895" width="10.28515625" style="3" customWidth="1"/>
    <col min="5896" max="5896" width="8.140625" style="3" customWidth="1"/>
    <col min="5897" max="5897" width="9.140625" style="3"/>
    <col min="5898" max="5898" width="14" style="3" customWidth="1"/>
    <col min="5899" max="5899" width="9.140625" style="3"/>
    <col min="5900" max="5900" width="13.42578125" style="3" customWidth="1"/>
    <col min="5901" max="5901" width="10" style="3" customWidth="1"/>
    <col min="5902" max="5902" width="10.7109375" style="3" customWidth="1"/>
    <col min="5903" max="5905" width="9.140625" style="3"/>
    <col min="5906" max="5906" width="10" style="3" customWidth="1"/>
    <col min="5907" max="5907" width="9.140625" style="3"/>
    <col min="5908" max="5908" width="10.140625" style="3" customWidth="1"/>
    <col min="5909" max="5910" width="9.140625" style="3"/>
    <col min="5911" max="5911" width="12.85546875" style="3" bestFit="1" customWidth="1"/>
    <col min="5912" max="5912" width="13" style="3" customWidth="1"/>
    <col min="5913" max="6142" width="9.140625" style="3"/>
    <col min="6143" max="6143" width="4.28515625" style="3" customWidth="1"/>
    <col min="6144" max="6144" width="22.7109375" style="3" customWidth="1"/>
    <col min="6145" max="6145" width="10.28515625" style="3" customWidth="1"/>
    <col min="6146" max="6146" width="7.42578125" style="3" customWidth="1"/>
    <col min="6147" max="6147" width="6.28515625" style="3" customWidth="1"/>
    <col min="6148" max="6148" width="6.140625" style="3" customWidth="1"/>
    <col min="6149" max="6149" width="6.42578125" style="3" customWidth="1"/>
    <col min="6150" max="6150" width="9.140625" style="3"/>
    <col min="6151" max="6151" width="10.28515625" style="3" customWidth="1"/>
    <col min="6152" max="6152" width="8.140625" style="3" customWidth="1"/>
    <col min="6153" max="6153" width="9.140625" style="3"/>
    <col min="6154" max="6154" width="14" style="3" customWidth="1"/>
    <col min="6155" max="6155" width="9.140625" style="3"/>
    <col min="6156" max="6156" width="13.42578125" style="3" customWidth="1"/>
    <col min="6157" max="6157" width="10" style="3" customWidth="1"/>
    <col min="6158" max="6158" width="10.7109375" style="3" customWidth="1"/>
    <col min="6159" max="6161" width="9.140625" style="3"/>
    <col min="6162" max="6162" width="10" style="3" customWidth="1"/>
    <col min="6163" max="6163" width="9.140625" style="3"/>
    <col min="6164" max="6164" width="10.140625" style="3" customWidth="1"/>
    <col min="6165" max="6166" width="9.140625" style="3"/>
    <col min="6167" max="6167" width="12.85546875" style="3" bestFit="1" customWidth="1"/>
    <col min="6168" max="6168" width="13" style="3" customWidth="1"/>
    <col min="6169" max="6398" width="9.140625" style="3"/>
    <col min="6399" max="6399" width="4.28515625" style="3" customWidth="1"/>
    <col min="6400" max="6400" width="22.7109375" style="3" customWidth="1"/>
    <col min="6401" max="6401" width="10.28515625" style="3" customWidth="1"/>
    <col min="6402" max="6402" width="7.42578125" style="3" customWidth="1"/>
    <col min="6403" max="6403" width="6.28515625" style="3" customWidth="1"/>
    <col min="6404" max="6404" width="6.140625" style="3" customWidth="1"/>
    <col min="6405" max="6405" width="6.42578125" style="3" customWidth="1"/>
    <col min="6406" max="6406" width="9.140625" style="3"/>
    <col min="6407" max="6407" width="10.28515625" style="3" customWidth="1"/>
    <col min="6408" max="6408" width="8.140625" style="3" customWidth="1"/>
    <col min="6409" max="6409" width="9.140625" style="3"/>
    <col min="6410" max="6410" width="14" style="3" customWidth="1"/>
    <col min="6411" max="6411" width="9.140625" style="3"/>
    <col min="6412" max="6412" width="13.42578125" style="3" customWidth="1"/>
    <col min="6413" max="6413" width="10" style="3" customWidth="1"/>
    <col min="6414" max="6414" width="10.7109375" style="3" customWidth="1"/>
    <col min="6415" max="6417" width="9.140625" style="3"/>
    <col min="6418" max="6418" width="10" style="3" customWidth="1"/>
    <col min="6419" max="6419" width="9.140625" style="3"/>
    <col min="6420" max="6420" width="10.140625" style="3" customWidth="1"/>
    <col min="6421" max="6422" width="9.140625" style="3"/>
    <col min="6423" max="6423" width="12.85546875" style="3" bestFit="1" customWidth="1"/>
    <col min="6424" max="6424" width="13" style="3" customWidth="1"/>
    <col min="6425" max="6654" width="9.140625" style="3"/>
    <col min="6655" max="6655" width="4.28515625" style="3" customWidth="1"/>
    <col min="6656" max="6656" width="22.7109375" style="3" customWidth="1"/>
    <col min="6657" max="6657" width="10.28515625" style="3" customWidth="1"/>
    <col min="6658" max="6658" width="7.42578125" style="3" customWidth="1"/>
    <col min="6659" max="6659" width="6.28515625" style="3" customWidth="1"/>
    <col min="6660" max="6660" width="6.140625" style="3" customWidth="1"/>
    <col min="6661" max="6661" width="6.42578125" style="3" customWidth="1"/>
    <col min="6662" max="6662" width="9.140625" style="3"/>
    <col min="6663" max="6663" width="10.28515625" style="3" customWidth="1"/>
    <col min="6664" max="6664" width="8.140625" style="3" customWidth="1"/>
    <col min="6665" max="6665" width="9.140625" style="3"/>
    <col min="6666" max="6666" width="14" style="3" customWidth="1"/>
    <col min="6667" max="6667" width="9.140625" style="3"/>
    <col min="6668" max="6668" width="13.42578125" style="3" customWidth="1"/>
    <col min="6669" max="6669" width="10" style="3" customWidth="1"/>
    <col min="6670" max="6670" width="10.7109375" style="3" customWidth="1"/>
    <col min="6671" max="6673" width="9.140625" style="3"/>
    <col min="6674" max="6674" width="10" style="3" customWidth="1"/>
    <col min="6675" max="6675" width="9.140625" style="3"/>
    <col min="6676" max="6676" width="10.140625" style="3" customWidth="1"/>
    <col min="6677" max="6678" width="9.140625" style="3"/>
    <col min="6679" max="6679" width="12.85546875" style="3" bestFit="1" customWidth="1"/>
    <col min="6680" max="6680" width="13" style="3" customWidth="1"/>
    <col min="6681" max="6910" width="9.140625" style="3"/>
    <col min="6911" max="6911" width="4.28515625" style="3" customWidth="1"/>
    <col min="6912" max="6912" width="22.7109375" style="3" customWidth="1"/>
    <col min="6913" max="6913" width="10.28515625" style="3" customWidth="1"/>
    <col min="6914" max="6914" width="7.42578125" style="3" customWidth="1"/>
    <col min="6915" max="6915" width="6.28515625" style="3" customWidth="1"/>
    <col min="6916" max="6916" width="6.140625" style="3" customWidth="1"/>
    <col min="6917" max="6917" width="6.42578125" style="3" customWidth="1"/>
    <col min="6918" max="6918" width="9.140625" style="3"/>
    <col min="6919" max="6919" width="10.28515625" style="3" customWidth="1"/>
    <col min="6920" max="6920" width="8.140625" style="3" customWidth="1"/>
    <col min="6921" max="6921" width="9.140625" style="3"/>
    <col min="6922" max="6922" width="14" style="3" customWidth="1"/>
    <col min="6923" max="6923" width="9.140625" style="3"/>
    <col min="6924" max="6924" width="13.42578125" style="3" customWidth="1"/>
    <col min="6925" max="6925" width="10" style="3" customWidth="1"/>
    <col min="6926" max="6926" width="10.7109375" style="3" customWidth="1"/>
    <col min="6927" max="6929" width="9.140625" style="3"/>
    <col min="6930" max="6930" width="10" style="3" customWidth="1"/>
    <col min="6931" max="6931" width="9.140625" style="3"/>
    <col min="6932" max="6932" width="10.140625" style="3" customWidth="1"/>
    <col min="6933" max="6934" width="9.140625" style="3"/>
    <col min="6935" max="6935" width="12.85546875" style="3" bestFit="1" customWidth="1"/>
    <col min="6936" max="6936" width="13" style="3" customWidth="1"/>
    <col min="6937" max="7166" width="9.140625" style="3"/>
    <col min="7167" max="7167" width="4.28515625" style="3" customWidth="1"/>
    <col min="7168" max="7168" width="22.7109375" style="3" customWidth="1"/>
    <col min="7169" max="7169" width="10.28515625" style="3" customWidth="1"/>
    <col min="7170" max="7170" width="7.42578125" style="3" customWidth="1"/>
    <col min="7171" max="7171" width="6.28515625" style="3" customWidth="1"/>
    <col min="7172" max="7172" width="6.140625" style="3" customWidth="1"/>
    <col min="7173" max="7173" width="6.42578125" style="3" customWidth="1"/>
    <col min="7174" max="7174" width="9.140625" style="3"/>
    <col min="7175" max="7175" width="10.28515625" style="3" customWidth="1"/>
    <col min="7176" max="7176" width="8.140625" style="3" customWidth="1"/>
    <col min="7177" max="7177" width="9.140625" style="3"/>
    <col min="7178" max="7178" width="14" style="3" customWidth="1"/>
    <col min="7179" max="7179" width="9.140625" style="3"/>
    <col min="7180" max="7180" width="13.42578125" style="3" customWidth="1"/>
    <col min="7181" max="7181" width="10" style="3" customWidth="1"/>
    <col min="7182" max="7182" width="10.7109375" style="3" customWidth="1"/>
    <col min="7183" max="7185" width="9.140625" style="3"/>
    <col min="7186" max="7186" width="10" style="3" customWidth="1"/>
    <col min="7187" max="7187" width="9.140625" style="3"/>
    <col min="7188" max="7188" width="10.140625" style="3" customWidth="1"/>
    <col min="7189" max="7190" width="9.140625" style="3"/>
    <col min="7191" max="7191" width="12.85546875" style="3" bestFit="1" customWidth="1"/>
    <col min="7192" max="7192" width="13" style="3" customWidth="1"/>
    <col min="7193" max="7422" width="9.140625" style="3"/>
    <col min="7423" max="7423" width="4.28515625" style="3" customWidth="1"/>
    <col min="7424" max="7424" width="22.7109375" style="3" customWidth="1"/>
    <col min="7425" max="7425" width="10.28515625" style="3" customWidth="1"/>
    <col min="7426" max="7426" width="7.42578125" style="3" customWidth="1"/>
    <col min="7427" max="7427" width="6.28515625" style="3" customWidth="1"/>
    <col min="7428" max="7428" width="6.140625" style="3" customWidth="1"/>
    <col min="7429" max="7429" width="6.42578125" style="3" customWidth="1"/>
    <col min="7430" max="7430" width="9.140625" style="3"/>
    <col min="7431" max="7431" width="10.28515625" style="3" customWidth="1"/>
    <col min="7432" max="7432" width="8.140625" style="3" customWidth="1"/>
    <col min="7433" max="7433" width="9.140625" style="3"/>
    <col min="7434" max="7434" width="14" style="3" customWidth="1"/>
    <col min="7435" max="7435" width="9.140625" style="3"/>
    <col min="7436" max="7436" width="13.42578125" style="3" customWidth="1"/>
    <col min="7437" max="7437" width="10" style="3" customWidth="1"/>
    <col min="7438" max="7438" width="10.7109375" style="3" customWidth="1"/>
    <col min="7439" max="7441" width="9.140625" style="3"/>
    <col min="7442" max="7442" width="10" style="3" customWidth="1"/>
    <col min="7443" max="7443" width="9.140625" style="3"/>
    <col min="7444" max="7444" width="10.140625" style="3" customWidth="1"/>
    <col min="7445" max="7446" width="9.140625" style="3"/>
    <col min="7447" max="7447" width="12.85546875" style="3" bestFit="1" customWidth="1"/>
    <col min="7448" max="7448" width="13" style="3" customWidth="1"/>
    <col min="7449" max="7678" width="9.140625" style="3"/>
    <col min="7679" max="7679" width="4.28515625" style="3" customWidth="1"/>
    <col min="7680" max="7680" width="22.7109375" style="3" customWidth="1"/>
    <col min="7681" max="7681" width="10.28515625" style="3" customWidth="1"/>
    <col min="7682" max="7682" width="7.42578125" style="3" customWidth="1"/>
    <col min="7683" max="7683" width="6.28515625" style="3" customWidth="1"/>
    <col min="7684" max="7684" width="6.140625" style="3" customWidth="1"/>
    <col min="7685" max="7685" width="6.42578125" style="3" customWidth="1"/>
    <col min="7686" max="7686" width="9.140625" style="3"/>
    <col min="7687" max="7687" width="10.28515625" style="3" customWidth="1"/>
    <col min="7688" max="7688" width="8.140625" style="3" customWidth="1"/>
    <col min="7689" max="7689" width="9.140625" style="3"/>
    <col min="7690" max="7690" width="14" style="3" customWidth="1"/>
    <col min="7691" max="7691" width="9.140625" style="3"/>
    <col min="7692" max="7692" width="13.42578125" style="3" customWidth="1"/>
    <col min="7693" max="7693" width="10" style="3" customWidth="1"/>
    <col min="7694" max="7694" width="10.7109375" style="3" customWidth="1"/>
    <col min="7695" max="7697" width="9.140625" style="3"/>
    <col min="7698" max="7698" width="10" style="3" customWidth="1"/>
    <col min="7699" max="7699" width="9.140625" style="3"/>
    <col min="7700" max="7700" width="10.140625" style="3" customWidth="1"/>
    <col min="7701" max="7702" width="9.140625" style="3"/>
    <col min="7703" max="7703" width="12.85546875" style="3" bestFit="1" customWidth="1"/>
    <col min="7704" max="7704" width="13" style="3" customWidth="1"/>
    <col min="7705" max="7934" width="9.140625" style="3"/>
    <col min="7935" max="7935" width="4.28515625" style="3" customWidth="1"/>
    <col min="7936" max="7936" width="22.7109375" style="3" customWidth="1"/>
    <col min="7937" max="7937" width="10.28515625" style="3" customWidth="1"/>
    <col min="7938" max="7938" width="7.42578125" style="3" customWidth="1"/>
    <col min="7939" max="7939" width="6.28515625" style="3" customWidth="1"/>
    <col min="7940" max="7940" width="6.140625" style="3" customWidth="1"/>
    <col min="7941" max="7941" width="6.42578125" style="3" customWidth="1"/>
    <col min="7942" max="7942" width="9.140625" style="3"/>
    <col min="7943" max="7943" width="10.28515625" style="3" customWidth="1"/>
    <col min="7944" max="7944" width="8.140625" style="3" customWidth="1"/>
    <col min="7945" max="7945" width="9.140625" style="3"/>
    <col min="7946" max="7946" width="14" style="3" customWidth="1"/>
    <col min="7947" max="7947" width="9.140625" style="3"/>
    <col min="7948" max="7948" width="13.42578125" style="3" customWidth="1"/>
    <col min="7949" max="7949" width="10" style="3" customWidth="1"/>
    <col min="7950" max="7950" width="10.7109375" style="3" customWidth="1"/>
    <col min="7951" max="7953" width="9.140625" style="3"/>
    <col min="7954" max="7954" width="10" style="3" customWidth="1"/>
    <col min="7955" max="7955" width="9.140625" style="3"/>
    <col min="7956" max="7956" width="10.140625" style="3" customWidth="1"/>
    <col min="7957" max="7958" width="9.140625" style="3"/>
    <col min="7959" max="7959" width="12.85546875" style="3" bestFit="1" customWidth="1"/>
    <col min="7960" max="7960" width="13" style="3" customWidth="1"/>
    <col min="7961" max="8190" width="9.140625" style="3"/>
    <col min="8191" max="8191" width="4.28515625" style="3" customWidth="1"/>
    <col min="8192" max="8192" width="22.7109375" style="3" customWidth="1"/>
    <col min="8193" max="8193" width="10.28515625" style="3" customWidth="1"/>
    <col min="8194" max="8194" width="7.42578125" style="3" customWidth="1"/>
    <col min="8195" max="8195" width="6.28515625" style="3" customWidth="1"/>
    <col min="8196" max="8196" width="6.140625" style="3" customWidth="1"/>
    <col min="8197" max="8197" width="6.42578125" style="3" customWidth="1"/>
    <col min="8198" max="8198" width="9.140625" style="3"/>
    <col min="8199" max="8199" width="10.28515625" style="3" customWidth="1"/>
    <col min="8200" max="8200" width="8.140625" style="3" customWidth="1"/>
    <col min="8201" max="8201" width="9.140625" style="3"/>
    <col min="8202" max="8202" width="14" style="3" customWidth="1"/>
    <col min="8203" max="8203" width="9.140625" style="3"/>
    <col min="8204" max="8204" width="13.42578125" style="3" customWidth="1"/>
    <col min="8205" max="8205" width="10" style="3" customWidth="1"/>
    <col min="8206" max="8206" width="10.7109375" style="3" customWidth="1"/>
    <col min="8207" max="8209" width="9.140625" style="3"/>
    <col min="8210" max="8210" width="10" style="3" customWidth="1"/>
    <col min="8211" max="8211" width="9.140625" style="3"/>
    <col min="8212" max="8212" width="10.140625" style="3" customWidth="1"/>
    <col min="8213" max="8214" width="9.140625" style="3"/>
    <col min="8215" max="8215" width="12.85546875" style="3" bestFit="1" customWidth="1"/>
    <col min="8216" max="8216" width="13" style="3" customWidth="1"/>
    <col min="8217" max="8446" width="9.140625" style="3"/>
    <col min="8447" max="8447" width="4.28515625" style="3" customWidth="1"/>
    <col min="8448" max="8448" width="22.7109375" style="3" customWidth="1"/>
    <col min="8449" max="8449" width="10.28515625" style="3" customWidth="1"/>
    <col min="8450" max="8450" width="7.42578125" style="3" customWidth="1"/>
    <col min="8451" max="8451" width="6.28515625" style="3" customWidth="1"/>
    <col min="8452" max="8452" width="6.140625" style="3" customWidth="1"/>
    <col min="8453" max="8453" width="6.42578125" style="3" customWidth="1"/>
    <col min="8454" max="8454" width="9.140625" style="3"/>
    <col min="8455" max="8455" width="10.28515625" style="3" customWidth="1"/>
    <col min="8456" max="8456" width="8.140625" style="3" customWidth="1"/>
    <col min="8457" max="8457" width="9.140625" style="3"/>
    <col min="8458" max="8458" width="14" style="3" customWidth="1"/>
    <col min="8459" max="8459" width="9.140625" style="3"/>
    <col min="8460" max="8460" width="13.42578125" style="3" customWidth="1"/>
    <col min="8461" max="8461" width="10" style="3" customWidth="1"/>
    <col min="8462" max="8462" width="10.7109375" style="3" customWidth="1"/>
    <col min="8463" max="8465" width="9.140625" style="3"/>
    <col min="8466" max="8466" width="10" style="3" customWidth="1"/>
    <col min="8467" max="8467" width="9.140625" style="3"/>
    <col min="8468" max="8468" width="10.140625" style="3" customWidth="1"/>
    <col min="8469" max="8470" width="9.140625" style="3"/>
    <col min="8471" max="8471" width="12.85546875" style="3" bestFit="1" customWidth="1"/>
    <col min="8472" max="8472" width="13" style="3" customWidth="1"/>
    <col min="8473" max="8702" width="9.140625" style="3"/>
    <col min="8703" max="8703" width="4.28515625" style="3" customWidth="1"/>
    <col min="8704" max="8704" width="22.7109375" style="3" customWidth="1"/>
    <col min="8705" max="8705" width="10.28515625" style="3" customWidth="1"/>
    <col min="8706" max="8706" width="7.42578125" style="3" customWidth="1"/>
    <col min="8707" max="8707" width="6.28515625" style="3" customWidth="1"/>
    <col min="8708" max="8708" width="6.140625" style="3" customWidth="1"/>
    <col min="8709" max="8709" width="6.42578125" style="3" customWidth="1"/>
    <col min="8710" max="8710" width="9.140625" style="3"/>
    <col min="8711" max="8711" width="10.28515625" style="3" customWidth="1"/>
    <col min="8712" max="8712" width="8.140625" style="3" customWidth="1"/>
    <col min="8713" max="8713" width="9.140625" style="3"/>
    <col min="8714" max="8714" width="14" style="3" customWidth="1"/>
    <col min="8715" max="8715" width="9.140625" style="3"/>
    <col min="8716" max="8716" width="13.42578125" style="3" customWidth="1"/>
    <col min="8717" max="8717" width="10" style="3" customWidth="1"/>
    <col min="8718" max="8718" width="10.7109375" style="3" customWidth="1"/>
    <col min="8719" max="8721" width="9.140625" style="3"/>
    <col min="8722" max="8722" width="10" style="3" customWidth="1"/>
    <col min="8723" max="8723" width="9.140625" style="3"/>
    <col min="8724" max="8724" width="10.140625" style="3" customWidth="1"/>
    <col min="8725" max="8726" width="9.140625" style="3"/>
    <col min="8727" max="8727" width="12.85546875" style="3" bestFit="1" customWidth="1"/>
    <col min="8728" max="8728" width="13" style="3" customWidth="1"/>
    <col min="8729" max="8958" width="9.140625" style="3"/>
    <col min="8959" max="8959" width="4.28515625" style="3" customWidth="1"/>
    <col min="8960" max="8960" width="22.7109375" style="3" customWidth="1"/>
    <col min="8961" max="8961" width="10.28515625" style="3" customWidth="1"/>
    <col min="8962" max="8962" width="7.42578125" style="3" customWidth="1"/>
    <col min="8963" max="8963" width="6.28515625" style="3" customWidth="1"/>
    <col min="8964" max="8964" width="6.140625" style="3" customWidth="1"/>
    <col min="8965" max="8965" width="6.42578125" style="3" customWidth="1"/>
    <col min="8966" max="8966" width="9.140625" style="3"/>
    <col min="8967" max="8967" width="10.28515625" style="3" customWidth="1"/>
    <col min="8968" max="8968" width="8.140625" style="3" customWidth="1"/>
    <col min="8969" max="8969" width="9.140625" style="3"/>
    <col min="8970" max="8970" width="14" style="3" customWidth="1"/>
    <col min="8971" max="8971" width="9.140625" style="3"/>
    <col min="8972" max="8972" width="13.42578125" style="3" customWidth="1"/>
    <col min="8973" max="8973" width="10" style="3" customWidth="1"/>
    <col min="8974" max="8974" width="10.7109375" style="3" customWidth="1"/>
    <col min="8975" max="8977" width="9.140625" style="3"/>
    <col min="8978" max="8978" width="10" style="3" customWidth="1"/>
    <col min="8979" max="8979" width="9.140625" style="3"/>
    <col min="8980" max="8980" width="10.140625" style="3" customWidth="1"/>
    <col min="8981" max="8982" width="9.140625" style="3"/>
    <col min="8983" max="8983" width="12.85546875" style="3" bestFit="1" customWidth="1"/>
    <col min="8984" max="8984" width="13" style="3" customWidth="1"/>
    <col min="8985" max="9214" width="9.140625" style="3"/>
    <col min="9215" max="9215" width="4.28515625" style="3" customWidth="1"/>
    <col min="9216" max="9216" width="22.7109375" style="3" customWidth="1"/>
    <col min="9217" max="9217" width="10.28515625" style="3" customWidth="1"/>
    <col min="9218" max="9218" width="7.42578125" style="3" customWidth="1"/>
    <col min="9219" max="9219" width="6.28515625" style="3" customWidth="1"/>
    <col min="9220" max="9220" width="6.140625" style="3" customWidth="1"/>
    <col min="9221" max="9221" width="6.42578125" style="3" customWidth="1"/>
    <col min="9222" max="9222" width="9.140625" style="3"/>
    <col min="9223" max="9223" width="10.28515625" style="3" customWidth="1"/>
    <col min="9224" max="9224" width="8.140625" style="3" customWidth="1"/>
    <col min="9225" max="9225" width="9.140625" style="3"/>
    <col min="9226" max="9226" width="14" style="3" customWidth="1"/>
    <col min="9227" max="9227" width="9.140625" style="3"/>
    <col min="9228" max="9228" width="13.42578125" style="3" customWidth="1"/>
    <col min="9229" max="9229" width="10" style="3" customWidth="1"/>
    <col min="9230" max="9230" width="10.7109375" style="3" customWidth="1"/>
    <col min="9231" max="9233" width="9.140625" style="3"/>
    <col min="9234" max="9234" width="10" style="3" customWidth="1"/>
    <col min="9235" max="9235" width="9.140625" style="3"/>
    <col min="9236" max="9236" width="10.140625" style="3" customWidth="1"/>
    <col min="9237" max="9238" width="9.140625" style="3"/>
    <col min="9239" max="9239" width="12.85546875" style="3" bestFit="1" customWidth="1"/>
    <col min="9240" max="9240" width="13" style="3" customWidth="1"/>
    <col min="9241" max="9470" width="9.140625" style="3"/>
    <col min="9471" max="9471" width="4.28515625" style="3" customWidth="1"/>
    <col min="9472" max="9472" width="22.7109375" style="3" customWidth="1"/>
    <col min="9473" max="9473" width="10.28515625" style="3" customWidth="1"/>
    <col min="9474" max="9474" width="7.42578125" style="3" customWidth="1"/>
    <col min="9475" max="9475" width="6.28515625" style="3" customWidth="1"/>
    <col min="9476" max="9476" width="6.140625" style="3" customWidth="1"/>
    <col min="9477" max="9477" width="6.42578125" style="3" customWidth="1"/>
    <col min="9478" max="9478" width="9.140625" style="3"/>
    <col min="9479" max="9479" width="10.28515625" style="3" customWidth="1"/>
    <col min="9480" max="9480" width="8.140625" style="3" customWidth="1"/>
    <col min="9481" max="9481" width="9.140625" style="3"/>
    <col min="9482" max="9482" width="14" style="3" customWidth="1"/>
    <col min="9483" max="9483" width="9.140625" style="3"/>
    <col min="9484" max="9484" width="13.42578125" style="3" customWidth="1"/>
    <col min="9485" max="9485" width="10" style="3" customWidth="1"/>
    <col min="9486" max="9486" width="10.7109375" style="3" customWidth="1"/>
    <col min="9487" max="9489" width="9.140625" style="3"/>
    <col min="9490" max="9490" width="10" style="3" customWidth="1"/>
    <col min="9491" max="9491" width="9.140625" style="3"/>
    <col min="9492" max="9492" width="10.140625" style="3" customWidth="1"/>
    <col min="9493" max="9494" width="9.140625" style="3"/>
    <col min="9495" max="9495" width="12.85546875" style="3" bestFit="1" customWidth="1"/>
    <col min="9496" max="9496" width="13" style="3" customWidth="1"/>
    <col min="9497" max="9726" width="9.140625" style="3"/>
    <col min="9727" max="9727" width="4.28515625" style="3" customWidth="1"/>
    <col min="9728" max="9728" width="22.7109375" style="3" customWidth="1"/>
    <col min="9729" max="9729" width="10.28515625" style="3" customWidth="1"/>
    <col min="9730" max="9730" width="7.42578125" style="3" customWidth="1"/>
    <col min="9731" max="9731" width="6.28515625" style="3" customWidth="1"/>
    <col min="9732" max="9732" width="6.140625" style="3" customWidth="1"/>
    <col min="9733" max="9733" width="6.42578125" style="3" customWidth="1"/>
    <col min="9734" max="9734" width="9.140625" style="3"/>
    <col min="9735" max="9735" width="10.28515625" style="3" customWidth="1"/>
    <col min="9736" max="9736" width="8.140625" style="3" customWidth="1"/>
    <col min="9737" max="9737" width="9.140625" style="3"/>
    <col min="9738" max="9738" width="14" style="3" customWidth="1"/>
    <col min="9739" max="9739" width="9.140625" style="3"/>
    <col min="9740" max="9740" width="13.42578125" style="3" customWidth="1"/>
    <col min="9741" max="9741" width="10" style="3" customWidth="1"/>
    <col min="9742" max="9742" width="10.7109375" style="3" customWidth="1"/>
    <col min="9743" max="9745" width="9.140625" style="3"/>
    <col min="9746" max="9746" width="10" style="3" customWidth="1"/>
    <col min="9747" max="9747" width="9.140625" style="3"/>
    <col min="9748" max="9748" width="10.140625" style="3" customWidth="1"/>
    <col min="9749" max="9750" width="9.140625" style="3"/>
    <col min="9751" max="9751" width="12.85546875" style="3" bestFit="1" customWidth="1"/>
    <col min="9752" max="9752" width="13" style="3" customWidth="1"/>
    <col min="9753" max="9982" width="9.140625" style="3"/>
    <col min="9983" max="9983" width="4.28515625" style="3" customWidth="1"/>
    <col min="9984" max="9984" width="22.7109375" style="3" customWidth="1"/>
    <col min="9985" max="9985" width="10.28515625" style="3" customWidth="1"/>
    <col min="9986" max="9986" width="7.42578125" style="3" customWidth="1"/>
    <col min="9987" max="9987" width="6.28515625" style="3" customWidth="1"/>
    <col min="9988" max="9988" width="6.140625" style="3" customWidth="1"/>
    <col min="9989" max="9989" width="6.42578125" style="3" customWidth="1"/>
    <col min="9990" max="9990" width="9.140625" style="3"/>
    <col min="9991" max="9991" width="10.28515625" style="3" customWidth="1"/>
    <col min="9992" max="9992" width="8.140625" style="3" customWidth="1"/>
    <col min="9993" max="9993" width="9.140625" style="3"/>
    <col min="9994" max="9994" width="14" style="3" customWidth="1"/>
    <col min="9995" max="9995" width="9.140625" style="3"/>
    <col min="9996" max="9996" width="13.42578125" style="3" customWidth="1"/>
    <col min="9997" max="9997" width="10" style="3" customWidth="1"/>
    <col min="9998" max="9998" width="10.7109375" style="3" customWidth="1"/>
    <col min="9999" max="10001" width="9.140625" style="3"/>
    <col min="10002" max="10002" width="10" style="3" customWidth="1"/>
    <col min="10003" max="10003" width="9.140625" style="3"/>
    <col min="10004" max="10004" width="10.140625" style="3" customWidth="1"/>
    <col min="10005" max="10006" width="9.140625" style="3"/>
    <col min="10007" max="10007" width="12.85546875" style="3" bestFit="1" customWidth="1"/>
    <col min="10008" max="10008" width="13" style="3" customWidth="1"/>
    <col min="10009" max="10238" width="9.140625" style="3"/>
    <col min="10239" max="10239" width="4.28515625" style="3" customWidth="1"/>
    <col min="10240" max="10240" width="22.7109375" style="3" customWidth="1"/>
    <col min="10241" max="10241" width="10.28515625" style="3" customWidth="1"/>
    <col min="10242" max="10242" width="7.42578125" style="3" customWidth="1"/>
    <col min="10243" max="10243" width="6.28515625" style="3" customWidth="1"/>
    <col min="10244" max="10244" width="6.140625" style="3" customWidth="1"/>
    <col min="10245" max="10245" width="6.42578125" style="3" customWidth="1"/>
    <col min="10246" max="10246" width="9.140625" style="3"/>
    <col min="10247" max="10247" width="10.28515625" style="3" customWidth="1"/>
    <col min="10248" max="10248" width="8.140625" style="3" customWidth="1"/>
    <col min="10249" max="10249" width="9.140625" style="3"/>
    <col min="10250" max="10250" width="14" style="3" customWidth="1"/>
    <col min="10251" max="10251" width="9.140625" style="3"/>
    <col min="10252" max="10252" width="13.42578125" style="3" customWidth="1"/>
    <col min="10253" max="10253" width="10" style="3" customWidth="1"/>
    <col min="10254" max="10254" width="10.7109375" style="3" customWidth="1"/>
    <col min="10255" max="10257" width="9.140625" style="3"/>
    <col min="10258" max="10258" width="10" style="3" customWidth="1"/>
    <col min="10259" max="10259" width="9.140625" style="3"/>
    <col min="10260" max="10260" width="10.140625" style="3" customWidth="1"/>
    <col min="10261" max="10262" width="9.140625" style="3"/>
    <col min="10263" max="10263" width="12.85546875" style="3" bestFit="1" customWidth="1"/>
    <col min="10264" max="10264" width="13" style="3" customWidth="1"/>
    <col min="10265" max="10494" width="9.140625" style="3"/>
    <col min="10495" max="10495" width="4.28515625" style="3" customWidth="1"/>
    <col min="10496" max="10496" width="22.7109375" style="3" customWidth="1"/>
    <col min="10497" max="10497" width="10.28515625" style="3" customWidth="1"/>
    <col min="10498" max="10498" width="7.42578125" style="3" customWidth="1"/>
    <col min="10499" max="10499" width="6.28515625" style="3" customWidth="1"/>
    <col min="10500" max="10500" width="6.140625" style="3" customWidth="1"/>
    <col min="10501" max="10501" width="6.42578125" style="3" customWidth="1"/>
    <col min="10502" max="10502" width="9.140625" style="3"/>
    <col min="10503" max="10503" width="10.28515625" style="3" customWidth="1"/>
    <col min="10504" max="10504" width="8.140625" style="3" customWidth="1"/>
    <col min="10505" max="10505" width="9.140625" style="3"/>
    <col min="10506" max="10506" width="14" style="3" customWidth="1"/>
    <col min="10507" max="10507" width="9.140625" style="3"/>
    <col min="10508" max="10508" width="13.42578125" style="3" customWidth="1"/>
    <col min="10509" max="10509" width="10" style="3" customWidth="1"/>
    <col min="10510" max="10510" width="10.7109375" style="3" customWidth="1"/>
    <col min="10511" max="10513" width="9.140625" style="3"/>
    <col min="10514" max="10514" width="10" style="3" customWidth="1"/>
    <col min="10515" max="10515" width="9.140625" style="3"/>
    <col min="10516" max="10516" width="10.140625" style="3" customWidth="1"/>
    <col min="10517" max="10518" width="9.140625" style="3"/>
    <col min="10519" max="10519" width="12.85546875" style="3" bestFit="1" customWidth="1"/>
    <col min="10520" max="10520" width="13" style="3" customWidth="1"/>
    <col min="10521" max="10750" width="9.140625" style="3"/>
    <col min="10751" max="10751" width="4.28515625" style="3" customWidth="1"/>
    <col min="10752" max="10752" width="22.7109375" style="3" customWidth="1"/>
    <col min="10753" max="10753" width="10.28515625" style="3" customWidth="1"/>
    <col min="10754" max="10754" width="7.42578125" style="3" customWidth="1"/>
    <col min="10755" max="10755" width="6.28515625" style="3" customWidth="1"/>
    <col min="10756" max="10756" width="6.140625" style="3" customWidth="1"/>
    <col min="10757" max="10757" width="6.42578125" style="3" customWidth="1"/>
    <col min="10758" max="10758" width="9.140625" style="3"/>
    <col min="10759" max="10759" width="10.28515625" style="3" customWidth="1"/>
    <col min="10760" max="10760" width="8.140625" style="3" customWidth="1"/>
    <col min="10761" max="10761" width="9.140625" style="3"/>
    <col min="10762" max="10762" width="14" style="3" customWidth="1"/>
    <col min="10763" max="10763" width="9.140625" style="3"/>
    <col min="10764" max="10764" width="13.42578125" style="3" customWidth="1"/>
    <col min="10765" max="10765" width="10" style="3" customWidth="1"/>
    <col min="10766" max="10766" width="10.7109375" style="3" customWidth="1"/>
    <col min="10767" max="10769" width="9.140625" style="3"/>
    <col min="10770" max="10770" width="10" style="3" customWidth="1"/>
    <col min="10771" max="10771" width="9.140625" style="3"/>
    <col min="10772" max="10772" width="10.140625" style="3" customWidth="1"/>
    <col min="10773" max="10774" width="9.140625" style="3"/>
    <col min="10775" max="10775" width="12.85546875" style="3" bestFit="1" customWidth="1"/>
    <col min="10776" max="10776" width="13" style="3" customWidth="1"/>
    <col min="10777" max="11006" width="9.140625" style="3"/>
    <col min="11007" max="11007" width="4.28515625" style="3" customWidth="1"/>
    <col min="11008" max="11008" width="22.7109375" style="3" customWidth="1"/>
    <col min="11009" max="11009" width="10.28515625" style="3" customWidth="1"/>
    <col min="11010" max="11010" width="7.42578125" style="3" customWidth="1"/>
    <col min="11011" max="11011" width="6.28515625" style="3" customWidth="1"/>
    <col min="11012" max="11012" width="6.140625" style="3" customWidth="1"/>
    <col min="11013" max="11013" width="6.42578125" style="3" customWidth="1"/>
    <col min="11014" max="11014" width="9.140625" style="3"/>
    <col min="11015" max="11015" width="10.28515625" style="3" customWidth="1"/>
    <col min="11016" max="11016" width="8.140625" style="3" customWidth="1"/>
    <col min="11017" max="11017" width="9.140625" style="3"/>
    <col min="11018" max="11018" width="14" style="3" customWidth="1"/>
    <col min="11019" max="11019" width="9.140625" style="3"/>
    <col min="11020" max="11020" width="13.42578125" style="3" customWidth="1"/>
    <col min="11021" max="11021" width="10" style="3" customWidth="1"/>
    <col min="11022" max="11022" width="10.7109375" style="3" customWidth="1"/>
    <col min="11023" max="11025" width="9.140625" style="3"/>
    <col min="11026" max="11026" width="10" style="3" customWidth="1"/>
    <col min="11027" max="11027" width="9.140625" style="3"/>
    <col min="11028" max="11028" width="10.140625" style="3" customWidth="1"/>
    <col min="11029" max="11030" width="9.140625" style="3"/>
    <col min="11031" max="11031" width="12.85546875" style="3" bestFit="1" customWidth="1"/>
    <col min="11032" max="11032" width="13" style="3" customWidth="1"/>
    <col min="11033" max="11262" width="9.140625" style="3"/>
    <col min="11263" max="11263" width="4.28515625" style="3" customWidth="1"/>
    <col min="11264" max="11264" width="22.7109375" style="3" customWidth="1"/>
    <col min="11265" max="11265" width="10.28515625" style="3" customWidth="1"/>
    <col min="11266" max="11266" width="7.42578125" style="3" customWidth="1"/>
    <col min="11267" max="11267" width="6.28515625" style="3" customWidth="1"/>
    <col min="11268" max="11268" width="6.140625" style="3" customWidth="1"/>
    <col min="11269" max="11269" width="6.42578125" style="3" customWidth="1"/>
    <col min="11270" max="11270" width="9.140625" style="3"/>
    <col min="11271" max="11271" width="10.28515625" style="3" customWidth="1"/>
    <col min="11272" max="11272" width="8.140625" style="3" customWidth="1"/>
    <col min="11273" max="11273" width="9.140625" style="3"/>
    <col min="11274" max="11274" width="14" style="3" customWidth="1"/>
    <col min="11275" max="11275" width="9.140625" style="3"/>
    <col min="11276" max="11276" width="13.42578125" style="3" customWidth="1"/>
    <col min="11277" max="11277" width="10" style="3" customWidth="1"/>
    <col min="11278" max="11278" width="10.7109375" style="3" customWidth="1"/>
    <col min="11279" max="11281" width="9.140625" style="3"/>
    <col min="11282" max="11282" width="10" style="3" customWidth="1"/>
    <col min="11283" max="11283" width="9.140625" style="3"/>
    <col min="11284" max="11284" width="10.140625" style="3" customWidth="1"/>
    <col min="11285" max="11286" width="9.140625" style="3"/>
    <col min="11287" max="11287" width="12.85546875" style="3" bestFit="1" customWidth="1"/>
    <col min="11288" max="11288" width="13" style="3" customWidth="1"/>
    <col min="11289" max="11518" width="9.140625" style="3"/>
    <col min="11519" max="11519" width="4.28515625" style="3" customWidth="1"/>
    <col min="11520" max="11520" width="22.7109375" style="3" customWidth="1"/>
    <col min="11521" max="11521" width="10.28515625" style="3" customWidth="1"/>
    <col min="11522" max="11522" width="7.42578125" style="3" customWidth="1"/>
    <col min="11523" max="11523" width="6.28515625" style="3" customWidth="1"/>
    <col min="11524" max="11524" width="6.140625" style="3" customWidth="1"/>
    <col min="11525" max="11525" width="6.42578125" style="3" customWidth="1"/>
    <col min="11526" max="11526" width="9.140625" style="3"/>
    <col min="11527" max="11527" width="10.28515625" style="3" customWidth="1"/>
    <col min="11528" max="11528" width="8.140625" style="3" customWidth="1"/>
    <col min="11529" max="11529" width="9.140625" style="3"/>
    <col min="11530" max="11530" width="14" style="3" customWidth="1"/>
    <col min="11531" max="11531" width="9.140625" style="3"/>
    <col min="11532" max="11532" width="13.42578125" style="3" customWidth="1"/>
    <col min="11533" max="11533" width="10" style="3" customWidth="1"/>
    <col min="11534" max="11534" width="10.7109375" style="3" customWidth="1"/>
    <col min="11535" max="11537" width="9.140625" style="3"/>
    <col min="11538" max="11538" width="10" style="3" customWidth="1"/>
    <col min="11539" max="11539" width="9.140625" style="3"/>
    <col min="11540" max="11540" width="10.140625" style="3" customWidth="1"/>
    <col min="11541" max="11542" width="9.140625" style="3"/>
    <col min="11543" max="11543" width="12.85546875" style="3" bestFit="1" customWidth="1"/>
    <col min="11544" max="11544" width="13" style="3" customWidth="1"/>
    <col min="11545" max="11774" width="9.140625" style="3"/>
    <col min="11775" max="11775" width="4.28515625" style="3" customWidth="1"/>
    <col min="11776" max="11776" width="22.7109375" style="3" customWidth="1"/>
    <col min="11777" max="11777" width="10.28515625" style="3" customWidth="1"/>
    <col min="11778" max="11778" width="7.42578125" style="3" customWidth="1"/>
    <col min="11779" max="11779" width="6.28515625" style="3" customWidth="1"/>
    <col min="11780" max="11780" width="6.140625" style="3" customWidth="1"/>
    <col min="11781" max="11781" width="6.42578125" style="3" customWidth="1"/>
    <col min="11782" max="11782" width="9.140625" style="3"/>
    <col min="11783" max="11783" width="10.28515625" style="3" customWidth="1"/>
    <col min="11784" max="11784" width="8.140625" style="3" customWidth="1"/>
    <col min="11785" max="11785" width="9.140625" style="3"/>
    <col min="11786" max="11786" width="14" style="3" customWidth="1"/>
    <col min="11787" max="11787" width="9.140625" style="3"/>
    <col min="11788" max="11788" width="13.42578125" style="3" customWidth="1"/>
    <col min="11789" max="11789" width="10" style="3" customWidth="1"/>
    <col min="11790" max="11790" width="10.7109375" style="3" customWidth="1"/>
    <col min="11791" max="11793" width="9.140625" style="3"/>
    <col min="11794" max="11794" width="10" style="3" customWidth="1"/>
    <col min="11795" max="11795" width="9.140625" style="3"/>
    <col min="11796" max="11796" width="10.140625" style="3" customWidth="1"/>
    <col min="11797" max="11798" width="9.140625" style="3"/>
    <col min="11799" max="11799" width="12.85546875" style="3" bestFit="1" customWidth="1"/>
    <col min="11800" max="11800" width="13" style="3" customWidth="1"/>
    <col min="11801" max="12030" width="9.140625" style="3"/>
    <col min="12031" max="12031" width="4.28515625" style="3" customWidth="1"/>
    <col min="12032" max="12032" width="22.7109375" style="3" customWidth="1"/>
    <col min="12033" max="12033" width="10.28515625" style="3" customWidth="1"/>
    <col min="12034" max="12034" width="7.42578125" style="3" customWidth="1"/>
    <col min="12035" max="12035" width="6.28515625" style="3" customWidth="1"/>
    <col min="12036" max="12036" width="6.140625" style="3" customWidth="1"/>
    <col min="12037" max="12037" width="6.42578125" style="3" customWidth="1"/>
    <col min="12038" max="12038" width="9.140625" style="3"/>
    <col min="12039" max="12039" width="10.28515625" style="3" customWidth="1"/>
    <col min="12040" max="12040" width="8.140625" style="3" customWidth="1"/>
    <col min="12041" max="12041" width="9.140625" style="3"/>
    <col min="12042" max="12042" width="14" style="3" customWidth="1"/>
    <col min="12043" max="12043" width="9.140625" style="3"/>
    <col min="12044" max="12044" width="13.42578125" style="3" customWidth="1"/>
    <col min="12045" max="12045" width="10" style="3" customWidth="1"/>
    <col min="12046" max="12046" width="10.7109375" style="3" customWidth="1"/>
    <col min="12047" max="12049" width="9.140625" style="3"/>
    <col min="12050" max="12050" width="10" style="3" customWidth="1"/>
    <col min="12051" max="12051" width="9.140625" style="3"/>
    <col min="12052" max="12052" width="10.140625" style="3" customWidth="1"/>
    <col min="12053" max="12054" width="9.140625" style="3"/>
    <col min="12055" max="12055" width="12.85546875" style="3" bestFit="1" customWidth="1"/>
    <col min="12056" max="12056" width="13" style="3" customWidth="1"/>
    <col min="12057" max="12286" width="9.140625" style="3"/>
    <col min="12287" max="12287" width="4.28515625" style="3" customWidth="1"/>
    <col min="12288" max="12288" width="22.7109375" style="3" customWidth="1"/>
    <col min="12289" max="12289" width="10.28515625" style="3" customWidth="1"/>
    <col min="12290" max="12290" width="7.42578125" style="3" customWidth="1"/>
    <col min="12291" max="12291" width="6.28515625" style="3" customWidth="1"/>
    <col min="12292" max="12292" width="6.140625" style="3" customWidth="1"/>
    <col min="12293" max="12293" width="6.42578125" style="3" customWidth="1"/>
    <col min="12294" max="12294" width="9.140625" style="3"/>
    <col min="12295" max="12295" width="10.28515625" style="3" customWidth="1"/>
    <col min="12296" max="12296" width="8.140625" style="3" customWidth="1"/>
    <col min="12297" max="12297" width="9.140625" style="3"/>
    <col min="12298" max="12298" width="14" style="3" customWidth="1"/>
    <col min="12299" max="12299" width="9.140625" style="3"/>
    <col min="12300" max="12300" width="13.42578125" style="3" customWidth="1"/>
    <col min="12301" max="12301" width="10" style="3" customWidth="1"/>
    <col min="12302" max="12302" width="10.7109375" style="3" customWidth="1"/>
    <col min="12303" max="12305" width="9.140625" style="3"/>
    <col min="12306" max="12306" width="10" style="3" customWidth="1"/>
    <col min="12307" max="12307" width="9.140625" style="3"/>
    <col min="12308" max="12308" width="10.140625" style="3" customWidth="1"/>
    <col min="12309" max="12310" width="9.140625" style="3"/>
    <col min="12311" max="12311" width="12.85546875" style="3" bestFit="1" customWidth="1"/>
    <col min="12312" max="12312" width="13" style="3" customWidth="1"/>
    <col min="12313" max="12542" width="9.140625" style="3"/>
    <col min="12543" max="12543" width="4.28515625" style="3" customWidth="1"/>
    <col min="12544" max="12544" width="22.7109375" style="3" customWidth="1"/>
    <col min="12545" max="12545" width="10.28515625" style="3" customWidth="1"/>
    <col min="12546" max="12546" width="7.42578125" style="3" customWidth="1"/>
    <col min="12547" max="12547" width="6.28515625" style="3" customWidth="1"/>
    <col min="12548" max="12548" width="6.140625" style="3" customWidth="1"/>
    <col min="12549" max="12549" width="6.42578125" style="3" customWidth="1"/>
    <col min="12550" max="12550" width="9.140625" style="3"/>
    <col min="12551" max="12551" width="10.28515625" style="3" customWidth="1"/>
    <col min="12552" max="12552" width="8.140625" style="3" customWidth="1"/>
    <col min="12553" max="12553" width="9.140625" style="3"/>
    <col min="12554" max="12554" width="14" style="3" customWidth="1"/>
    <col min="12555" max="12555" width="9.140625" style="3"/>
    <col min="12556" max="12556" width="13.42578125" style="3" customWidth="1"/>
    <col min="12557" max="12557" width="10" style="3" customWidth="1"/>
    <col min="12558" max="12558" width="10.7109375" style="3" customWidth="1"/>
    <col min="12559" max="12561" width="9.140625" style="3"/>
    <col min="12562" max="12562" width="10" style="3" customWidth="1"/>
    <col min="12563" max="12563" width="9.140625" style="3"/>
    <col min="12564" max="12564" width="10.140625" style="3" customWidth="1"/>
    <col min="12565" max="12566" width="9.140625" style="3"/>
    <col min="12567" max="12567" width="12.85546875" style="3" bestFit="1" customWidth="1"/>
    <col min="12568" max="12568" width="13" style="3" customWidth="1"/>
    <col min="12569" max="12798" width="9.140625" style="3"/>
    <col min="12799" max="12799" width="4.28515625" style="3" customWidth="1"/>
    <col min="12800" max="12800" width="22.7109375" style="3" customWidth="1"/>
    <col min="12801" max="12801" width="10.28515625" style="3" customWidth="1"/>
    <col min="12802" max="12802" width="7.42578125" style="3" customWidth="1"/>
    <col min="12803" max="12803" width="6.28515625" style="3" customWidth="1"/>
    <col min="12804" max="12804" width="6.140625" style="3" customWidth="1"/>
    <col min="12805" max="12805" width="6.42578125" style="3" customWidth="1"/>
    <col min="12806" max="12806" width="9.140625" style="3"/>
    <col min="12807" max="12807" width="10.28515625" style="3" customWidth="1"/>
    <col min="12808" max="12808" width="8.140625" style="3" customWidth="1"/>
    <col min="12809" max="12809" width="9.140625" style="3"/>
    <col min="12810" max="12810" width="14" style="3" customWidth="1"/>
    <col min="12811" max="12811" width="9.140625" style="3"/>
    <col min="12812" max="12812" width="13.42578125" style="3" customWidth="1"/>
    <col min="12813" max="12813" width="10" style="3" customWidth="1"/>
    <col min="12814" max="12814" width="10.7109375" style="3" customWidth="1"/>
    <col min="12815" max="12817" width="9.140625" style="3"/>
    <col min="12818" max="12818" width="10" style="3" customWidth="1"/>
    <col min="12819" max="12819" width="9.140625" style="3"/>
    <col min="12820" max="12820" width="10.140625" style="3" customWidth="1"/>
    <col min="12821" max="12822" width="9.140625" style="3"/>
    <col min="12823" max="12823" width="12.85546875" style="3" bestFit="1" customWidth="1"/>
    <col min="12824" max="12824" width="13" style="3" customWidth="1"/>
    <col min="12825" max="13054" width="9.140625" style="3"/>
    <col min="13055" max="13055" width="4.28515625" style="3" customWidth="1"/>
    <col min="13056" max="13056" width="22.7109375" style="3" customWidth="1"/>
    <col min="13057" max="13057" width="10.28515625" style="3" customWidth="1"/>
    <col min="13058" max="13058" width="7.42578125" style="3" customWidth="1"/>
    <col min="13059" max="13059" width="6.28515625" style="3" customWidth="1"/>
    <col min="13060" max="13060" width="6.140625" style="3" customWidth="1"/>
    <col min="13061" max="13061" width="6.42578125" style="3" customWidth="1"/>
    <col min="13062" max="13062" width="9.140625" style="3"/>
    <col min="13063" max="13063" width="10.28515625" style="3" customWidth="1"/>
    <col min="13064" max="13064" width="8.140625" style="3" customWidth="1"/>
    <col min="13065" max="13065" width="9.140625" style="3"/>
    <col min="13066" max="13066" width="14" style="3" customWidth="1"/>
    <col min="13067" max="13067" width="9.140625" style="3"/>
    <col min="13068" max="13068" width="13.42578125" style="3" customWidth="1"/>
    <col min="13069" max="13069" width="10" style="3" customWidth="1"/>
    <col min="13070" max="13070" width="10.7109375" style="3" customWidth="1"/>
    <col min="13071" max="13073" width="9.140625" style="3"/>
    <col min="13074" max="13074" width="10" style="3" customWidth="1"/>
    <col min="13075" max="13075" width="9.140625" style="3"/>
    <col min="13076" max="13076" width="10.140625" style="3" customWidth="1"/>
    <col min="13077" max="13078" width="9.140625" style="3"/>
    <col min="13079" max="13079" width="12.85546875" style="3" bestFit="1" customWidth="1"/>
    <col min="13080" max="13080" width="13" style="3" customWidth="1"/>
    <col min="13081" max="13310" width="9.140625" style="3"/>
    <col min="13311" max="13311" width="4.28515625" style="3" customWidth="1"/>
    <col min="13312" max="13312" width="22.7109375" style="3" customWidth="1"/>
    <col min="13313" max="13313" width="10.28515625" style="3" customWidth="1"/>
    <col min="13314" max="13314" width="7.42578125" style="3" customWidth="1"/>
    <col min="13315" max="13315" width="6.28515625" style="3" customWidth="1"/>
    <col min="13316" max="13316" width="6.140625" style="3" customWidth="1"/>
    <col min="13317" max="13317" width="6.42578125" style="3" customWidth="1"/>
    <col min="13318" max="13318" width="9.140625" style="3"/>
    <col min="13319" max="13319" width="10.28515625" style="3" customWidth="1"/>
    <col min="13320" max="13320" width="8.140625" style="3" customWidth="1"/>
    <col min="13321" max="13321" width="9.140625" style="3"/>
    <col min="13322" max="13322" width="14" style="3" customWidth="1"/>
    <col min="13323" max="13323" width="9.140625" style="3"/>
    <col min="13324" max="13324" width="13.42578125" style="3" customWidth="1"/>
    <col min="13325" max="13325" width="10" style="3" customWidth="1"/>
    <col min="13326" max="13326" width="10.7109375" style="3" customWidth="1"/>
    <col min="13327" max="13329" width="9.140625" style="3"/>
    <col min="13330" max="13330" width="10" style="3" customWidth="1"/>
    <col min="13331" max="13331" width="9.140625" style="3"/>
    <col min="13332" max="13332" width="10.140625" style="3" customWidth="1"/>
    <col min="13333" max="13334" width="9.140625" style="3"/>
    <col min="13335" max="13335" width="12.85546875" style="3" bestFit="1" customWidth="1"/>
    <col min="13336" max="13336" width="13" style="3" customWidth="1"/>
    <col min="13337" max="13566" width="9.140625" style="3"/>
    <col min="13567" max="13567" width="4.28515625" style="3" customWidth="1"/>
    <col min="13568" max="13568" width="22.7109375" style="3" customWidth="1"/>
    <col min="13569" max="13569" width="10.28515625" style="3" customWidth="1"/>
    <col min="13570" max="13570" width="7.42578125" style="3" customWidth="1"/>
    <col min="13571" max="13571" width="6.28515625" style="3" customWidth="1"/>
    <col min="13572" max="13572" width="6.140625" style="3" customWidth="1"/>
    <col min="13573" max="13573" width="6.42578125" style="3" customWidth="1"/>
    <col min="13574" max="13574" width="9.140625" style="3"/>
    <col min="13575" max="13575" width="10.28515625" style="3" customWidth="1"/>
    <col min="13576" max="13576" width="8.140625" style="3" customWidth="1"/>
    <col min="13577" max="13577" width="9.140625" style="3"/>
    <col min="13578" max="13578" width="14" style="3" customWidth="1"/>
    <col min="13579" max="13579" width="9.140625" style="3"/>
    <col min="13580" max="13580" width="13.42578125" style="3" customWidth="1"/>
    <col min="13581" max="13581" width="10" style="3" customWidth="1"/>
    <col min="13582" max="13582" width="10.7109375" style="3" customWidth="1"/>
    <col min="13583" max="13585" width="9.140625" style="3"/>
    <col min="13586" max="13586" width="10" style="3" customWidth="1"/>
    <col min="13587" max="13587" width="9.140625" style="3"/>
    <col min="13588" max="13588" width="10.140625" style="3" customWidth="1"/>
    <col min="13589" max="13590" width="9.140625" style="3"/>
    <col min="13591" max="13591" width="12.85546875" style="3" bestFit="1" customWidth="1"/>
    <col min="13592" max="13592" width="13" style="3" customWidth="1"/>
    <col min="13593" max="13822" width="9.140625" style="3"/>
    <col min="13823" max="13823" width="4.28515625" style="3" customWidth="1"/>
    <col min="13824" max="13824" width="22.7109375" style="3" customWidth="1"/>
    <col min="13825" max="13825" width="10.28515625" style="3" customWidth="1"/>
    <col min="13826" max="13826" width="7.42578125" style="3" customWidth="1"/>
    <col min="13827" max="13827" width="6.28515625" style="3" customWidth="1"/>
    <col min="13828" max="13828" width="6.140625" style="3" customWidth="1"/>
    <col min="13829" max="13829" width="6.42578125" style="3" customWidth="1"/>
    <col min="13830" max="13830" width="9.140625" style="3"/>
    <col min="13831" max="13831" width="10.28515625" style="3" customWidth="1"/>
    <col min="13832" max="13832" width="8.140625" style="3" customWidth="1"/>
    <col min="13833" max="13833" width="9.140625" style="3"/>
    <col min="13834" max="13834" width="14" style="3" customWidth="1"/>
    <col min="13835" max="13835" width="9.140625" style="3"/>
    <col min="13836" max="13836" width="13.42578125" style="3" customWidth="1"/>
    <col min="13837" max="13837" width="10" style="3" customWidth="1"/>
    <col min="13838" max="13838" width="10.7109375" style="3" customWidth="1"/>
    <col min="13839" max="13841" width="9.140625" style="3"/>
    <col min="13842" max="13842" width="10" style="3" customWidth="1"/>
    <col min="13843" max="13843" width="9.140625" style="3"/>
    <col min="13844" max="13844" width="10.140625" style="3" customWidth="1"/>
    <col min="13845" max="13846" width="9.140625" style="3"/>
    <col min="13847" max="13847" width="12.85546875" style="3" bestFit="1" customWidth="1"/>
    <col min="13848" max="13848" width="13" style="3" customWidth="1"/>
    <col min="13849" max="14078" width="9.140625" style="3"/>
    <col min="14079" max="14079" width="4.28515625" style="3" customWidth="1"/>
    <col min="14080" max="14080" width="22.7109375" style="3" customWidth="1"/>
    <col min="14081" max="14081" width="10.28515625" style="3" customWidth="1"/>
    <col min="14082" max="14082" width="7.42578125" style="3" customWidth="1"/>
    <col min="14083" max="14083" width="6.28515625" style="3" customWidth="1"/>
    <col min="14084" max="14084" width="6.140625" style="3" customWidth="1"/>
    <col min="14085" max="14085" width="6.42578125" style="3" customWidth="1"/>
    <col min="14086" max="14086" width="9.140625" style="3"/>
    <col min="14087" max="14087" width="10.28515625" style="3" customWidth="1"/>
    <col min="14088" max="14088" width="8.140625" style="3" customWidth="1"/>
    <col min="14089" max="14089" width="9.140625" style="3"/>
    <col min="14090" max="14090" width="14" style="3" customWidth="1"/>
    <col min="14091" max="14091" width="9.140625" style="3"/>
    <col min="14092" max="14092" width="13.42578125" style="3" customWidth="1"/>
    <col min="14093" max="14093" width="10" style="3" customWidth="1"/>
    <col min="14094" max="14094" width="10.7109375" style="3" customWidth="1"/>
    <col min="14095" max="14097" width="9.140625" style="3"/>
    <col min="14098" max="14098" width="10" style="3" customWidth="1"/>
    <col min="14099" max="14099" width="9.140625" style="3"/>
    <col min="14100" max="14100" width="10.140625" style="3" customWidth="1"/>
    <col min="14101" max="14102" width="9.140625" style="3"/>
    <col min="14103" max="14103" width="12.85546875" style="3" bestFit="1" customWidth="1"/>
    <col min="14104" max="14104" width="13" style="3" customWidth="1"/>
    <col min="14105" max="14334" width="9.140625" style="3"/>
    <col min="14335" max="14335" width="4.28515625" style="3" customWidth="1"/>
    <col min="14336" max="14336" width="22.7109375" style="3" customWidth="1"/>
    <col min="14337" max="14337" width="10.28515625" style="3" customWidth="1"/>
    <col min="14338" max="14338" width="7.42578125" style="3" customWidth="1"/>
    <col min="14339" max="14339" width="6.28515625" style="3" customWidth="1"/>
    <col min="14340" max="14340" width="6.140625" style="3" customWidth="1"/>
    <col min="14341" max="14341" width="6.42578125" style="3" customWidth="1"/>
    <col min="14342" max="14342" width="9.140625" style="3"/>
    <col min="14343" max="14343" width="10.28515625" style="3" customWidth="1"/>
    <col min="14344" max="14344" width="8.140625" style="3" customWidth="1"/>
    <col min="14345" max="14345" width="9.140625" style="3"/>
    <col min="14346" max="14346" width="14" style="3" customWidth="1"/>
    <col min="14347" max="14347" width="9.140625" style="3"/>
    <col min="14348" max="14348" width="13.42578125" style="3" customWidth="1"/>
    <col min="14349" max="14349" width="10" style="3" customWidth="1"/>
    <col min="14350" max="14350" width="10.7109375" style="3" customWidth="1"/>
    <col min="14351" max="14353" width="9.140625" style="3"/>
    <col min="14354" max="14354" width="10" style="3" customWidth="1"/>
    <col min="14355" max="14355" width="9.140625" style="3"/>
    <col min="14356" max="14356" width="10.140625" style="3" customWidth="1"/>
    <col min="14357" max="14358" width="9.140625" style="3"/>
    <col min="14359" max="14359" width="12.85546875" style="3" bestFit="1" customWidth="1"/>
    <col min="14360" max="14360" width="13" style="3" customWidth="1"/>
    <col min="14361" max="14590" width="9.140625" style="3"/>
    <col min="14591" max="14591" width="4.28515625" style="3" customWidth="1"/>
    <col min="14592" max="14592" width="22.7109375" style="3" customWidth="1"/>
    <col min="14593" max="14593" width="10.28515625" style="3" customWidth="1"/>
    <col min="14594" max="14594" width="7.42578125" style="3" customWidth="1"/>
    <col min="14595" max="14595" width="6.28515625" style="3" customWidth="1"/>
    <col min="14596" max="14596" width="6.140625" style="3" customWidth="1"/>
    <col min="14597" max="14597" width="6.42578125" style="3" customWidth="1"/>
    <col min="14598" max="14598" width="9.140625" style="3"/>
    <col min="14599" max="14599" width="10.28515625" style="3" customWidth="1"/>
    <col min="14600" max="14600" width="8.140625" style="3" customWidth="1"/>
    <col min="14601" max="14601" width="9.140625" style="3"/>
    <col min="14602" max="14602" width="14" style="3" customWidth="1"/>
    <col min="14603" max="14603" width="9.140625" style="3"/>
    <col min="14604" max="14604" width="13.42578125" style="3" customWidth="1"/>
    <col min="14605" max="14605" width="10" style="3" customWidth="1"/>
    <col min="14606" max="14606" width="10.7109375" style="3" customWidth="1"/>
    <col min="14607" max="14609" width="9.140625" style="3"/>
    <col min="14610" max="14610" width="10" style="3" customWidth="1"/>
    <col min="14611" max="14611" width="9.140625" style="3"/>
    <col min="14612" max="14612" width="10.140625" style="3" customWidth="1"/>
    <col min="14613" max="14614" width="9.140625" style="3"/>
    <col min="14615" max="14615" width="12.85546875" style="3" bestFit="1" customWidth="1"/>
    <col min="14616" max="14616" width="13" style="3" customWidth="1"/>
    <col min="14617" max="14846" width="9.140625" style="3"/>
    <col min="14847" max="14847" width="4.28515625" style="3" customWidth="1"/>
    <col min="14848" max="14848" width="22.7109375" style="3" customWidth="1"/>
    <col min="14849" max="14849" width="10.28515625" style="3" customWidth="1"/>
    <col min="14850" max="14850" width="7.42578125" style="3" customWidth="1"/>
    <col min="14851" max="14851" width="6.28515625" style="3" customWidth="1"/>
    <col min="14852" max="14852" width="6.140625" style="3" customWidth="1"/>
    <col min="14853" max="14853" width="6.42578125" style="3" customWidth="1"/>
    <col min="14854" max="14854" width="9.140625" style="3"/>
    <col min="14855" max="14855" width="10.28515625" style="3" customWidth="1"/>
    <col min="14856" max="14856" width="8.140625" style="3" customWidth="1"/>
    <col min="14857" max="14857" width="9.140625" style="3"/>
    <col min="14858" max="14858" width="14" style="3" customWidth="1"/>
    <col min="14859" max="14859" width="9.140625" style="3"/>
    <col min="14860" max="14860" width="13.42578125" style="3" customWidth="1"/>
    <col min="14861" max="14861" width="10" style="3" customWidth="1"/>
    <col min="14862" max="14862" width="10.7109375" style="3" customWidth="1"/>
    <col min="14863" max="14865" width="9.140625" style="3"/>
    <col min="14866" max="14866" width="10" style="3" customWidth="1"/>
    <col min="14867" max="14867" width="9.140625" style="3"/>
    <col min="14868" max="14868" width="10.140625" style="3" customWidth="1"/>
    <col min="14869" max="14870" width="9.140625" style="3"/>
    <col min="14871" max="14871" width="12.85546875" style="3" bestFit="1" customWidth="1"/>
    <col min="14872" max="14872" width="13" style="3" customWidth="1"/>
    <col min="14873" max="15102" width="9.140625" style="3"/>
    <col min="15103" max="15103" width="4.28515625" style="3" customWidth="1"/>
    <col min="15104" max="15104" width="22.7109375" style="3" customWidth="1"/>
    <col min="15105" max="15105" width="10.28515625" style="3" customWidth="1"/>
    <col min="15106" max="15106" width="7.42578125" style="3" customWidth="1"/>
    <col min="15107" max="15107" width="6.28515625" style="3" customWidth="1"/>
    <col min="15108" max="15108" width="6.140625" style="3" customWidth="1"/>
    <col min="15109" max="15109" width="6.42578125" style="3" customWidth="1"/>
    <col min="15110" max="15110" width="9.140625" style="3"/>
    <col min="15111" max="15111" width="10.28515625" style="3" customWidth="1"/>
    <col min="15112" max="15112" width="8.140625" style="3" customWidth="1"/>
    <col min="15113" max="15113" width="9.140625" style="3"/>
    <col min="15114" max="15114" width="14" style="3" customWidth="1"/>
    <col min="15115" max="15115" width="9.140625" style="3"/>
    <col min="15116" max="15116" width="13.42578125" style="3" customWidth="1"/>
    <col min="15117" max="15117" width="10" style="3" customWidth="1"/>
    <col min="15118" max="15118" width="10.7109375" style="3" customWidth="1"/>
    <col min="15119" max="15121" width="9.140625" style="3"/>
    <col min="15122" max="15122" width="10" style="3" customWidth="1"/>
    <col min="15123" max="15123" width="9.140625" style="3"/>
    <col min="15124" max="15124" width="10.140625" style="3" customWidth="1"/>
    <col min="15125" max="15126" width="9.140625" style="3"/>
    <col min="15127" max="15127" width="12.85546875" style="3" bestFit="1" customWidth="1"/>
    <col min="15128" max="15128" width="13" style="3" customWidth="1"/>
    <col min="15129" max="15358" width="9.140625" style="3"/>
    <col min="15359" max="15359" width="4.28515625" style="3" customWidth="1"/>
    <col min="15360" max="15360" width="22.7109375" style="3" customWidth="1"/>
    <col min="15361" max="15361" width="10.28515625" style="3" customWidth="1"/>
    <col min="15362" max="15362" width="7.42578125" style="3" customWidth="1"/>
    <col min="15363" max="15363" width="6.28515625" style="3" customWidth="1"/>
    <col min="15364" max="15364" width="6.140625" style="3" customWidth="1"/>
    <col min="15365" max="15365" width="6.42578125" style="3" customWidth="1"/>
    <col min="15366" max="15366" width="9.140625" style="3"/>
    <col min="15367" max="15367" width="10.28515625" style="3" customWidth="1"/>
    <col min="15368" max="15368" width="8.140625" style="3" customWidth="1"/>
    <col min="15369" max="15369" width="9.140625" style="3"/>
    <col min="15370" max="15370" width="14" style="3" customWidth="1"/>
    <col min="15371" max="15371" width="9.140625" style="3"/>
    <col min="15372" max="15372" width="13.42578125" style="3" customWidth="1"/>
    <col min="15373" max="15373" width="10" style="3" customWidth="1"/>
    <col min="15374" max="15374" width="10.7109375" style="3" customWidth="1"/>
    <col min="15375" max="15377" width="9.140625" style="3"/>
    <col min="15378" max="15378" width="10" style="3" customWidth="1"/>
    <col min="15379" max="15379" width="9.140625" style="3"/>
    <col min="15380" max="15380" width="10.140625" style="3" customWidth="1"/>
    <col min="15381" max="15382" width="9.140625" style="3"/>
    <col min="15383" max="15383" width="12.85546875" style="3" bestFit="1" customWidth="1"/>
    <col min="15384" max="15384" width="13" style="3" customWidth="1"/>
    <col min="15385" max="15614" width="9.140625" style="3"/>
    <col min="15615" max="15615" width="4.28515625" style="3" customWidth="1"/>
    <col min="15616" max="15616" width="22.7109375" style="3" customWidth="1"/>
    <col min="15617" max="15617" width="10.28515625" style="3" customWidth="1"/>
    <col min="15618" max="15618" width="7.42578125" style="3" customWidth="1"/>
    <col min="15619" max="15619" width="6.28515625" style="3" customWidth="1"/>
    <col min="15620" max="15620" width="6.140625" style="3" customWidth="1"/>
    <col min="15621" max="15621" width="6.42578125" style="3" customWidth="1"/>
    <col min="15622" max="15622" width="9.140625" style="3"/>
    <col min="15623" max="15623" width="10.28515625" style="3" customWidth="1"/>
    <col min="15624" max="15624" width="8.140625" style="3" customWidth="1"/>
    <col min="15625" max="15625" width="9.140625" style="3"/>
    <col min="15626" max="15626" width="14" style="3" customWidth="1"/>
    <col min="15627" max="15627" width="9.140625" style="3"/>
    <col min="15628" max="15628" width="13.42578125" style="3" customWidth="1"/>
    <col min="15629" max="15629" width="10" style="3" customWidth="1"/>
    <col min="15630" max="15630" width="10.7109375" style="3" customWidth="1"/>
    <col min="15631" max="15633" width="9.140625" style="3"/>
    <col min="15634" max="15634" width="10" style="3" customWidth="1"/>
    <col min="15635" max="15635" width="9.140625" style="3"/>
    <col min="15636" max="15636" width="10.140625" style="3" customWidth="1"/>
    <col min="15637" max="15638" width="9.140625" style="3"/>
    <col min="15639" max="15639" width="12.85546875" style="3" bestFit="1" customWidth="1"/>
    <col min="15640" max="15640" width="13" style="3" customWidth="1"/>
    <col min="15641" max="15870" width="9.140625" style="3"/>
    <col min="15871" max="15871" width="4.28515625" style="3" customWidth="1"/>
    <col min="15872" max="15872" width="22.7109375" style="3" customWidth="1"/>
    <col min="15873" max="15873" width="10.28515625" style="3" customWidth="1"/>
    <col min="15874" max="15874" width="7.42578125" style="3" customWidth="1"/>
    <col min="15875" max="15875" width="6.28515625" style="3" customWidth="1"/>
    <col min="15876" max="15876" width="6.140625" style="3" customWidth="1"/>
    <col min="15877" max="15877" width="6.42578125" style="3" customWidth="1"/>
    <col min="15878" max="15878" width="9.140625" style="3"/>
    <col min="15879" max="15879" width="10.28515625" style="3" customWidth="1"/>
    <col min="15880" max="15880" width="8.140625" style="3" customWidth="1"/>
    <col min="15881" max="15881" width="9.140625" style="3"/>
    <col min="15882" max="15882" width="14" style="3" customWidth="1"/>
    <col min="15883" max="15883" width="9.140625" style="3"/>
    <col min="15884" max="15884" width="13.42578125" style="3" customWidth="1"/>
    <col min="15885" max="15885" width="10" style="3" customWidth="1"/>
    <col min="15886" max="15886" width="10.7109375" style="3" customWidth="1"/>
    <col min="15887" max="15889" width="9.140625" style="3"/>
    <col min="15890" max="15890" width="10" style="3" customWidth="1"/>
    <col min="15891" max="15891" width="9.140625" style="3"/>
    <col min="15892" max="15892" width="10.140625" style="3" customWidth="1"/>
    <col min="15893" max="15894" width="9.140625" style="3"/>
    <col min="15895" max="15895" width="12.85546875" style="3" bestFit="1" customWidth="1"/>
    <col min="15896" max="15896" width="13" style="3" customWidth="1"/>
    <col min="15897" max="16126" width="9.140625" style="3"/>
    <col min="16127" max="16127" width="4.28515625" style="3" customWidth="1"/>
    <col min="16128" max="16128" width="22.7109375" style="3" customWidth="1"/>
    <col min="16129" max="16129" width="10.28515625" style="3" customWidth="1"/>
    <col min="16130" max="16130" width="7.42578125" style="3" customWidth="1"/>
    <col min="16131" max="16131" width="6.28515625" style="3" customWidth="1"/>
    <col min="16132" max="16132" width="6.140625" style="3" customWidth="1"/>
    <col min="16133" max="16133" width="6.42578125" style="3" customWidth="1"/>
    <col min="16134" max="16134" width="9.140625" style="3"/>
    <col min="16135" max="16135" width="10.28515625" style="3" customWidth="1"/>
    <col min="16136" max="16136" width="8.140625" style="3" customWidth="1"/>
    <col min="16137" max="16137" width="9.140625" style="3"/>
    <col min="16138" max="16138" width="14" style="3" customWidth="1"/>
    <col min="16139" max="16139" width="9.140625" style="3"/>
    <col min="16140" max="16140" width="13.42578125" style="3" customWidth="1"/>
    <col min="16141" max="16141" width="10" style="3" customWidth="1"/>
    <col min="16142" max="16142" width="10.7109375" style="3" customWidth="1"/>
    <col min="16143" max="16145" width="9.140625" style="3"/>
    <col min="16146" max="16146" width="10" style="3" customWidth="1"/>
    <col min="16147" max="16147" width="9.140625" style="3"/>
    <col min="16148" max="16148" width="10.140625" style="3" customWidth="1"/>
    <col min="16149" max="16150" width="9.140625" style="3"/>
    <col min="16151" max="16151" width="12.85546875" style="3" bestFit="1" customWidth="1"/>
    <col min="16152" max="16152" width="13" style="3" customWidth="1"/>
    <col min="16153" max="16384" width="9.140625" style="3"/>
  </cols>
  <sheetData>
    <row r="2" spans="1:26" s="4" customFormat="1" ht="19.5" customHeight="1">
      <c r="A2" s="4" t="s">
        <v>149</v>
      </c>
      <c r="V2" s="4" t="s">
        <v>150</v>
      </c>
    </row>
    <row r="3" spans="1:26" s="4" customFormat="1" ht="15.75">
      <c r="A3" s="4" t="s">
        <v>151</v>
      </c>
    </row>
    <row r="5" spans="1:26" ht="23.25">
      <c r="A5" s="289" t="s">
        <v>152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</row>
    <row r="6" spans="1:26" ht="23.25">
      <c r="A6" s="289" t="s">
        <v>153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</row>
    <row r="7" spans="1:26" s="139" customFormat="1" ht="23.25">
      <c r="A7" s="290" t="s">
        <v>216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</row>
    <row r="8" spans="1:26" ht="23.25">
      <c r="A8" s="159"/>
      <c r="B8" s="159"/>
      <c r="C8" s="159"/>
      <c r="D8" s="159"/>
      <c r="E8" s="159"/>
      <c r="F8" s="159"/>
      <c r="G8" s="159"/>
      <c r="H8" s="159"/>
      <c r="I8" s="159"/>
      <c r="J8" s="158"/>
      <c r="K8" s="159"/>
      <c r="L8" s="141" t="s">
        <v>154</v>
      </c>
      <c r="M8" s="158"/>
      <c r="N8" s="142">
        <v>1490000</v>
      </c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8"/>
    </row>
    <row r="9" spans="1:26" s="196" customFormat="1" ht="25.5" customHeight="1">
      <c r="A9" s="288" t="s">
        <v>0</v>
      </c>
      <c r="B9" s="288" t="s">
        <v>155</v>
      </c>
      <c r="C9" s="288" t="s">
        <v>156</v>
      </c>
      <c r="D9" s="287" t="s">
        <v>157</v>
      </c>
      <c r="E9" s="287" t="s">
        <v>158</v>
      </c>
      <c r="F9" s="287" t="s">
        <v>159</v>
      </c>
      <c r="G9" s="287" t="s">
        <v>160</v>
      </c>
      <c r="H9" s="287" t="s">
        <v>161</v>
      </c>
      <c r="I9" s="287" t="s">
        <v>162</v>
      </c>
      <c r="J9" s="282" t="s">
        <v>163</v>
      </c>
      <c r="K9" s="287" t="s">
        <v>164</v>
      </c>
      <c r="L9" s="287" t="s">
        <v>165</v>
      </c>
      <c r="M9" s="282" t="s">
        <v>207</v>
      </c>
      <c r="N9" s="284" t="s">
        <v>167</v>
      </c>
      <c r="O9" s="285"/>
      <c r="P9" s="284" t="s">
        <v>168</v>
      </c>
      <c r="Q9" s="285"/>
      <c r="R9" s="284" t="s">
        <v>169</v>
      </c>
      <c r="S9" s="285"/>
      <c r="T9" s="284" t="s">
        <v>170</v>
      </c>
      <c r="U9" s="286"/>
      <c r="V9" s="286"/>
      <c r="W9" s="285"/>
      <c r="X9" s="287" t="s">
        <v>171</v>
      </c>
      <c r="Y9" s="276" t="s">
        <v>41</v>
      </c>
    </row>
    <row r="10" spans="1:26" s="196" customFormat="1" ht="74.25" customHeight="1">
      <c r="A10" s="288"/>
      <c r="B10" s="288"/>
      <c r="C10" s="288"/>
      <c r="D10" s="287"/>
      <c r="E10" s="287"/>
      <c r="F10" s="287"/>
      <c r="G10" s="287"/>
      <c r="H10" s="288"/>
      <c r="I10" s="288"/>
      <c r="J10" s="283"/>
      <c r="K10" s="288"/>
      <c r="L10" s="288"/>
      <c r="M10" s="283"/>
      <c r="N10" s="197" t="s">
        <v>206</v>
      </c>
      <c r="O10" s="198" t="s">
        <v>197</v>
      </c>
      <c r="P10" s="198" t="s">
        <v>198</v>
      </c>
      <c r="Q10" s="198" t="s">
        <v>199</v>
      </c>
      <c r="R10" s="198" t="s">
        <v>200</v>
      </c>
      <c r="S10" s="198" t="s">
        <v>201</v>
      </c>
      <c r="T10" s="198" t="s">
        <v>202</v>
      </c>
      <c r="U10" s="198" t="s">
        <v>175</v>
      </c>
      <c r="V10" s="198" t="s">
        <v>176</v>
      </c>
      <c r="W10" s="199" t="s">
        <v>177</v>
      </c>
      <c r="X10" s="287"/>
      <c r="Y10" s="277"/>
    </row>
    <row r="11" spans="1:26" s="193" customFormat="1" ht="30.75" customHeight="1">
      <c r="A11" s="189">
        <v>1</v>
      </c>
      <c r="B11" s="189" t="s">
        <v>178</v>
      </c>
      <c r="C11" s="189" t="s">
        <v>69</v>
      </c>
      <c r="D11" s="189">
        <v>4.9800000000000004</v>
      </c>
      <c r="E11" s="189">
        <v>0.5</v>
      </c>
      <c r="F11" s="189">
        <v>0.2</v>
      </c>
      <c r="G11" s="189"/>
      <c r="H11" s="180"/>
      <c r="I11" s="180">
        <f>(D11+E11+H11)*29%</f>
        <v>1.5891999999999999</v>
      </c>
      <c r="J11" s="180">
        <f>(D11+E11+H11)*50%</f>
        <v>2.74</v>
      </c>
      <c r="K11" s="180">
        <f>SUM(D11:J11)</f>
        <v>10.0092</v>
      </c>
      <c r="L11" s="190">
        <f>K11*1490000</f>
        <v>14913708</v>
      </c>
      <c r="M11" s="189">
        <v>22</v>
      </c>
      <c r="N11" s="190">
        <f>(D11+E11+I11+H11)*1490000*17.5%</f>
        <v>1843293.9</v>
      </c>
      <c r="O11" s="190">
        <f>(D11+E11+H11+I11)*1490000*8%</f>
        <v>842648.64</v>
      </c>
      <c r="P11" s="190">
        <f>(D11+E11+H11+I11)*1490000*3%</f>
        <v>315993.24</v>
      </c>
      <c r="Q11" s="190">
        <f>(D11+E11+I11+H11)*1.5%*1490000</f>
        <v>157996.62000000002</v>
      </c>
      <c r="R11" s="190">
        <v>0</v>
      </c>
      <c r="S11" s="190">
        <v>0</v>
      </c>
      <c r="T11" s="190">
        <f>(D11+E11+H11+I11)*2%*1490000</f>
        <v>210662.16</v>
      </c>
      <c r="U11" s="190"/>
      <c r="V11" s="191">
        <f>T11</f>
        <v>210662.16</v>
      </c>
      <c r="W11" s="191"/>
      <c r="X11" s="191">
        <f>L11-O11-Q11-S11-U11+W11</f>
        <v>13913062.74</v>
      </c>
      <c r="Y11" s="189"/>
      <c r="Z11" s="192"/>
    </row>
    <row r="12" spans="1:26" s="193" customFormat="1" ht="30.75" customHeight="1">
      <c r="A12" s="189">
        <v>2</v>
      </c>
      <c r="B12" s="189" t="s">
        <v>205</v>
      </c>
      <c r="C12" s="189" t="s">
        <v>69</v>
      </c>
      <c r="D12" s="189">
        <v>3.99</v>
      </c>
      <c r="E12" s="189">
        <v>0.35</v>
      </c>
      <c r="F12" s="189">
        <v>0.2</v>
      </c>
      <c r="G12" s="189"/>
      <c r="H12" s="180"/>
      <c r="I12" s="180">
        <f>(D12+E12)*18%</f>
        <v>0.78119999999999989</v>
      </c>
      <c r="J12" s="180">
        <f t="shared" ref="J12:J26" si="0">(D12+E12+H12)*50%</f>
        <v>2.17</v>
      </c>
      <c r="K12" s="180">
        <f t="shared" ref="K12:K25" si="1">SUM(D12:J12)</f>
        <v>7.4912000000000001</v>
      </c>
      <c r="L12" s="190">
        <f t="shared" ref="L12:L25" si="2">K12*1490000</f>
        <v>11161888</v>
      </c>
      <c r="M12" s="189">
        <v>22</v>
      </c>
      <c r="N12" s="190">
        <f t="shared" ref="N12:N26" si="3">(D12+E12+I12+H12)*1490000*17.5%</f>
        <v>1335352.8999999999</v>
      </c>
      <c r="O12" s="190">
        <f t="shared" ref="O12:O26" si="4">(D12+E12+H12+I12)*1490000*8%</f>
        <v>610447.04</v>
      </c>
      <c r="P12" s="190">
        <f t="shared" ref="P12:P26" si="5">(D12+E12+H12+I12)*1490000*3%</f>
        <v>228917.63999999998</v>
      </c>
      <c r="Q12" s="190">
        <f t="shared" ref="Q12:Q26" si="6">(D12+E12+I12+H12)*1.5%*1490000</f>
        <v>114458.81999999999</v>
      </c>
      <c r="R12" s="190">
        <f>(D12+E12+H12+I12)*1%*1490000</f>
        <v>76305.88</v>
      </c>
      <c r="S12" s="190">
        <f>(D12+E12+I12+H12)*1%*1490000</f>
        <v>76305.88</v>
      </c>
      <c r="T12" s="190">
        <f t="shared" ref="T12:T26" si="7">(D12+E12+H12+I12)*2%*1490000</f>
        <v>152611.76</v>
      </c>
      <c r="U12" s="190"/>
      <c r="V12" s="191">
        <f t="shared" ref="V12:V26" si="8">T12</f>
        <v>152611.76</v>
      </c>
      <c r="W12" s="191"/>
      <c r="X12" s="191">
        <f t="shared" ref="X12:X26" si="9">L12-O12-Q12-S12-U12+W12</f>
        <v>10360676.26</v>
      </c>
      <c r="Y12" s="189"/>
      <c r="Z12" s="192"/>
    </row>
    <row r="13" spans="1:26" s="193" customFormat="1" ht="30.75" customHeight="1">
      <c r="A13" s="189">
        <v>3</v>
      </c>
      <c r="B13" s="189" t="s">
        <v>179</v>
      </c>
      <c r="C13" s="189" t="s">
        <v>70</v>
      </c>
      <c r="D13" s="189">
        <v>4.0599999999999996</v>
      </c>
      <c r="E13" s="189"/>
      <c r="F13" s="189">
        <v>0.2</v>
      </c>
      <c r="G13" s="189"/>
      <c r="H13" s="180">
        <f>D13*16%</f>
        <v>0.64959999999999996</v>
      </c>
      <c r="I13" s="180">
        <f>(D13+E13+H13)*31%</f>
        <v>1.4599759999999999</v>
      </c>
      <c r="J13" s="180">
        <f>(D13+E13+H13)*50%</f>
        <v>2.3548</v>
      </c>
      <c r="K13" s="180">
        <f t="shared" si="1"/>
        <v>8.7243759999999995</v>
      </c>
      <c r="L13" s="190">
        <f t="shared" si="2"/>
        <v>12999320.239999998</v>
      </c>
      <c r="M13" s="189">
        <v>22</v>
      </c>
      <c r="N13" s="190">
        <f t="shared" si="3"/>
        <v>1608716.9419999996</v>
      </c>
      <c r="O13" s="190">
        <f t="shared" si="4"/>
        <v>735413.45920000004</v>
      </c>
      <c r="P13" s="190">
        <f t="shared" si="5"/>
        <v>275780.04719999997</v>
      </c>
      <c r="Q13" s="190">
        <f t="shared" si="6"/>
        <v>137890.02359999999</v>
      </c>
      <c r="R13" s="190">
        <f t="shared" ref="R13:R26" si="10">(D13+E13+H13+I13)*1%*1490000</f>
        <v>91926.682400000005</v>
      </c>
      <c r="S13" s="190">
        <f t="shared" ref="S13:S26" si="11">(D13+E13+I13+H13)*1%*1490000</f>
        <v>91926.682399999991</v>
      </c>
      <c r="T13" s="190">
        <f t="shared" si="7"/>
        <v>183853.36480000001</v>
      </c>
      <c r="U13" s="190"/>
      <c r="V13" s="191">
        <f t="shared" si="8"/>
        <v>183853.36480000001</v>
      </c>
      <c r="W13" s="191"/>
      <c r="X13" s="191">
        <f>L13-O13-Q13-S13-U13+W13</f>
        <v>12034090.074799998</v>
      </c>
      <c r="Y13" s="191"/>
      <c r="Z13" s="192"/>
    </row>
    <row r="14" spans="1:26" s="193" customFormat="1" ht="30.75" customHeight="1">
      <c r="A14" s="189">
        <v>4</v>
      </c>
      <c r="B14" s="189" t="s">
        <v>180</v>
      </c>
      <c r="C14" s="189" t="s">
        <v>69</v>
      </c>
      <c r="D14" s="189">
        <v>4.9800000000000004</v>
      </c>
      <c r="E14" s="189">
        <v>0.2</v>
      </c>
      <c r="F14" s="189">
        <v>0.2</v>
      </c>
      <c r="G14" s="189"/>
      <c r="H14" s="180"/>
      <c r="I14" s="180">
        <f>(D14+E14)*29%</f>
        <v>1.5022</v>
      </c>
      <c r="J14" s="180">
        <f t="shared" si="0"/>
        <v>2.5900000000000003</v>
      </c>
      <c r="K14" s="180">
        <f t="shared" si="1"/>
        <v>9.4722000000000008</v>
      </c>
      <c r="L14" s="190">
        <f t="shared" si="2"/>
        <v>14113578.000000002</v>
      </c>
      <c r="M14" s="189">
        <v>22</v>
      </c>
      <c r="N14" s="190">
        <f t="shared" si="3"/>
        <v>1742383.6500000001</v>
      </c>
      <c r="O14" s="190">
        <f t="shared" si="4"/>
        <v>796518.24000000022</v>
      </c>
      <c r="P14" s="190">
        <f t="shared" si="5"/>
        <v>298694.34000000003</v>
      </c>
      <c r="Q14" s="190">
        <f t="shared" si="6"/>
        <v>149347.17000000001</v>
      </c>
      <c r="R14" s="190">
        <f t="shared" si="10"/>
        <v>99564.780000000013</v>
      </c>
      <c r="S14" s="190">
        <f t="shared" si="11"/>
        <v>99564.780000000013</v>
      </c>
      <c r="T14" s="190">
        <f t="shared" si="7"/>
        <v>199129.56000000003</v>
      </c>
      <c r="U14" s="190"/>
      <c r="V14" s="191">
        <f t="shared" si="8"/>
        <v>199129.56000000003</v>
      </c>
      <c r="W14" s="191"/>
      <c r="X14" s="191">
        <f t="shared" si="9"/>
        <v>13068147.810000002</v>
      </c>
      <c r="Y14" s="189"/>
      <c r="Z14" s="192"/>
    </row>
    <row r="15" spans="1:26" s="193" customFormat="1" ht="30.75" customHeight="1">
      <c r="A15" s="189">
        <v>5</v>
      </c>
      <c r="B15" s="189" t="s">
        <v>181</v>
      </c>
      <c r="C15" s="189" t="s">
        <v>69</v>
      </c>
      <c r="D15" s="189">
        <v>4.9800000000000004</v>
      </c>
      <c r="E15" s="189">
        <v>0.15</v>
      </c>
      <c r="F15" s="189">
        <v>0.2</v>
      </c>
      <c r="G15" s="189"/>
      <c r="H15" s="180"/>
      <c r="I15" s="180">
        <f>(D15+E15)*29%</f>
        <v>1.4877</v>
      </c>
      <c r="J15" s="180">
        <f t="shared" si="0"/>
        <v>2.5650000000000004</v>
      </c>
      <c r="K15" s="180">
        <f t="shared" si="1"/>
        <v>9.3827000000000016</v>
      </c>
      <c r="L15" s="190">
        <f t="shared" si="2"/>
        <v>13980223.000000002</v>
      </c>
      <c r="M15" s="189">
        <v>22</v>
      </c>
      <c r="N15" s="190">
        <f t="shared" si="3"/>
        <v>1725565.2750000001</v>
      </c>
      <c r="O15" s="190">
        <f t="shared" si="4"/>
        <v>788829.8400000002</v>
      </c>
      <c r="P15" s="190">
        <f t="shared" si="5"/>
        <v>295811.19000000006</v>
      </c>
      <c r="Q15" s="190">
        <f t="shared" si="6"/>
        <v>147905.595</v>
      </c>
      <c r="R15" s="190">
        <f t="shared" si="10"/>
        <v>98603.730000000025</v>
      </c>
      <c r="S15" s="190">
        <f t="shared" si="11"/>
        <v>98603.730000000025</v>
      </c>
      <c r="T15" s="190">
        <f t="shared" si="7"/>
        <v>197207.46000000005</v>
      </c>
      <c r="U15" s="190"/>
      <c r="V15" s="191">
        <f t="shared" si="8"/>
        <v>197207.46000000005</v>
      </c>
      <c r="W15" s="191"/>
      <c r="X15" s="191">
        <f t="shared" si="9"/>
        <v>12944883.835000001</v>
      </c>
      <c r="Y15" s="189"/>
      <c r="Z15" s="192"/>
    </row>
    <row r="16" spans="1:26" s="193" customFormat="1" ht="30.75" customHeight="1">
      <c r="A16" s="189">
        <v>6</v>
      </c>
      <c r="B16" s="189" t="s">
        <v>73</v>
      </c>
      <c r="C16" s="189" t="s">
        <v>69</v>
      </c>
      <c r="D16" s="194">
        <v>3</v>
      </c>
      <c r="E16" s="189"/>
      <c r="F16" s="189">
        <v>0.2</v>
      </c>
      <c r="G16" s="189"/>
      <c r="H16" s="180"/>
      <c r="I16" s="180">
        <f>(D16+E16)*11%</f>
        <v>0.33</v>
      </c>
      <c r="J16" s="180">
        <f t="shared" si="0"/>
        <v>1.5</v>
      </c>
      <c r="K16" s="180">
        <f t="shared" si="1"/>
        <v>5.03</v>
      </c>
      <c r="L16" s="190">
        <f t="shared" si="2"/>
        <v>7494700</v>
      </c>
      <c r="M16" s="189">
        <v>22</v>
      </c>
      <c r="N16" s="190">
        <f t="shared" si="3"/>
        <v>868297.5</v>
      </c>
      <c r="O16" s="190">
        <f t="shared" si="4"/>
        <v>396936</v>
      </c>
      <c r="P16" s="190">
        <f t="shared" si="5"/>
        <v>148851</v>
      </c>
      <c r="Q16" s="190">
        <f t="shared" si="6"/>
        <v>74425.5</v>
      </c>
      <c r="R16" s="190">
        <f t="shared" si="10"/>
        <v>49617.000000000007</v>
      </c>
      <c r="S16" s="190">
        <f t="shared" si="11"/>
        <v>49617.000000000007</v>
      </c>
      <c r="T16" s="190">
        <f t="shared" si="7"/>
        <v>99234.000000000015</v>
      </c>
      <c r="U16" s="190"/>
      <c r="V16" s="191">
        <f t="shared" si="8"/>
        <v>99234.000000000015</v>
      </c>
      <c r="W16" s="191"/>
      <c r="X16" s="191">
        <f>L16-O16-Q16-S16-U16+W16</f>
        <v>6973721.5</v>
      </c>
      <c r="Y16" s="189"/>
      <c r="Z16" s="192"/>
    </row>
    <row r="17" spans="1:26" s="193" customFormat="1" ht="30.75" customHeight="1">
      <c r="A17" s="189">
        <v>7</v>
      </c>
      <c r="B17" s="189" t="s">
        <v>68</v>
      </c>
      <c r="C17" s="189" t="s">
        <v>69</v>
      </c>
      <c r="D17" s="194">
        <v>3</v>
      </c>
      <c r="E17" s="189"/>
      <c r="F17" s="189">
        <v>0.2</v>
      </c>
      <c r="G17" s="189"/>
      <c r="H17" s="180"/>
      <c r="I17" s="180">
        <f>(D16+E16)*11%</f>
        <v>0.33</v>
      </c>
      <c r="J17" s="180">
        <f t="shared" si="0"/>
        <v>1.5</v>
      </c>
      <c r="K17" s="180">
        <f t="shared" si="1"/>
        <v>5.03</v>
      </c>
      <c r="L17" s="190">
        <f t="shared" si="2"/>
        <v>7494700</v>
      </c>
      <c r="M17" s="189">
        <v>22</v>
      </c>
      <c r="N17" s="190">
        <f t="shared" si="3"/>
        <v>868297.5</v>
      </c>
      <c r="O17" s="190">
        <f t="shared" si="4"/>
        <v>396936</v>
      </c>
      <c r="P17" s="190">
        <f t="shared" si="5"/>
        <v>148851</v>
      </c>
      <c r="Q17" s="190">
        <f t="shared" si="6"/>
        <v>74425.5</v>
      </c>
      <c r="R17" s="190">
        <f t="shared" si="10"/>
        <v>49617.000000000007</v>
      </c>
      <c r="S17" s="190">
        <f t="shared" si="11"/>
        <v>49617.000000000007</v>
      </c>
      <c r="T17" s="190">
        <f t="shared" si="7"/>
        <v>99234.000000000015</v>
      </c>
      <c r="U17" s="190"/>
      <c r="V17" s="191">
        <f t="shared" si="8"/>
        <v>99234.000000000015</v>
      </c>
      <c r="W17" s="191"/>
      <c r="X17" s="191">
        <f>L16-O16-Q16-S16-U16+W16</f>
        <v>6973721.5</v>
      </c>
      <c r="Y17" s="189"/>
      <c r="Z17" s="192"/>
    </row>
    <row r="18" spans="1:26" s="193" customFormat="1" ht="30.75" customHeight="1">
      <c r="A18" s="189">
        <v>8</v>
      </c>
      <c r="B18" s="189" t="s">
        <v>182</v>
      </c>
      <c r="C18" s="189" t="s">
        <v>69</v>
      </c>
      <c r="D18" s="194">
        <v>3</v>
      </c>
      <c r="E18" s="189"/>
      <c r="F18" s="189">
        <v>0.2</v>
      </c>
      <c r="G18" s="189"/>
      <c r="H18" s="180"/>
      <c r="I18" s="180">
        <f>(D17+E17)*11%</f>
        <v>0.33</v>
      </c>
      <c r="J18" s="180">
        <f>3*50%</f>
        <v>1.5</v>
      </c>
      <c r="K18" s="180">
        <f t="shared" si="1"/>
        <v>5.03</v>
      </c>
      <c r="L18" s="190">
        <f t="shared" si="2"/>
        <v>7494700</v>
      </c>
      <c r="M18" s="189">
        <v>22</v>
      </c>
      <c r="N18" s="190">
        <f t="shared" si="3"/>
        <v>868297.5</v>
      </c>
      <c r="O18" s="190">
        <f t="shared" si="4"/>
        <v>396936</v>
      </c>
      <c r="P18" s="190">
        <f t="shared" si="5"/>
        <v>148851</v>
      </c>
      <c r="Q18" s="190">
        <f t="shared" si="6"/>
        <v>74425.5</v>
      </c>
      <c r="R18" s="190">
        <f t="shared" si="10"/>
        <v>49617.000000000007</v>
      </c>
      <c r="S18" s="190">
        <f t="shared" si="11"/>
        <v>49617.000000000007</v>
      </c>
      <c r="T18" s="190">
        <f t="shared" si="7"/>
        <v>99234.000000000015</v>
      </c>
      <c r="U18" s="190"/>
      <c r="V18" s="191">
        <f t="shared" si="8"/>
        <v>99234.000000000015</v>
      </c>
      <c r="W18" s="191"/>
      <c r="X18" s="191">
        <f>L16-O16-Q16-S16-U16+W16</f>
        <v>6973721.5</v>
      </c>
      <c r="Y18" s="212"/>
      <c r="Z18" s="192"/>
    </row>
    <row r="19" spans="1:26" s="193" customFormat="1" ht="30.75" customHeight="1">
      <c r="A19" s="189">
        <v>9</v>
      </c>
      <c r="B19" s="189" t="s">
        <v>183</v>
      </c>
      <c r="C19" s="189" t="s">
        <v>69</v>
      </c>
      <c r="D19" s="194">
        <v>3</v>
      </c>
      <c r="E19" s="189"/>
      <c r="F19" s="189">
        <v>0.2</v>
      </c>
      <c r="G19" s="189"/>
      <c r="H19" s="180"/>
      <c r="I19" s="180">
        <f>(D19+E19)*9%</f>
        <v>0.27</v>
      </c>
      <c r="J19" s="180">
        <f t="shared" si="0"/>
        <v>1.5</v>
      </c>
      <c r="K19" s="180">
        <f t="shared" si="1"/>
        <v>4.9700000000000006</v>
      </c>
      <c r="L19" s="190">
        <f t="shared" si="2"/>
        <v>7405300.0000000009</v>
      </c>
      <c r="M19" s="189">
        <v>22</v>
      </c>
      <c r="N19" s="190">
        <f t="shared" si="3"/>
        <v>852652.5</v>
      </c>
      <c r="O19" s="190">
        <f t="shared" si="4"/>
        <v>389784</v>
      </c>
      <c r="P19" s="190">
        <f t="shared" si="5"/>
        <v>146169</v>
      </c>
      <c r="Q19" s="190">
        <f t="shared" si="6"/>
        <v>73084.5</v>
      </c>
      <c r="R19" s="190">
        <f t="shared" si="10"/>
        <v>48723</v>
      </c>
      <c r="S19" s="190">
        <f t="shared" si="11"/>
        <v>48723</v>
      </c>
      <c r="T19" s="190">
        <f t="shared" si="7"/>
        <v>97446</v>
      </c>
      <c r="U19" s="190"/>
      <c r="V19" s="191">
        <f t="shared" si="8"/>
        <v>97446</v>
      </c>
      <c r="W19" s="191"/>
      <c r="X19" s="191">
        <f>L19-O19-Q19-S19-U19+W19-1</f>
        <v>6893707.5000000009</v>
      </c>
      <c r="Y19" s="189"/>
      <c r="Z19" s="192"/>
    </row>
    <row r="20" spans="1:26" s="193" customFormat="1" ht="30.75" customHeight="1">
      <c r="A20" s="189">
        <v>10</v>
      </c>
      <c r="B20" s="189" t="s">
        <v>67</v>
      </c>
      <c r="C20" s="189" t="s">
        <v>69</v>
      </c>
      <c r="D20" s="194">
        <v>3</v>
      </c>
      <c r="E20" s="189"/>
      <c r="F20" s="189">
        <v>0.2</v>
      </c>
      <c r="G20" s="189"/>
      <c r="H20" s="180"/>
      <c r="I20" s="180">
        <f>(D20+E20)*9%</f>
        <v>0.27</v>
      </c>
      <c r="J20" s="180">
        <f t="shared" si="0"/>
        <v>1.5</v>
      </c>
      <c r="K20" s="180">
        <f t="shared" si="1"/>
        <v>4.9700000000000006</v>
      </c>
      <c r="L20" s="190">
        <f t="shared" si="2"/>
        <v>7405300.0000000009</v>
      </c>
      <c r="M20" s="189">
        <v>22</v>
      </c>
      <c r="N20" s="190">
        <f t="shared" si="3"/>
        <v>852652.5</v>
      </c>
      <c r="O20" s="190">
        <f t="shared" si="4"/>
        <v>389784</v>
      </c>
      <c r="P20" s="190">
        <f t="shared" si="5"/>
        <v>146169</v>
      </c>
      <c r="Q20" s="190">
        <f t="shared" si="6"/>
        <v>73084.5</v>
      </c>
      <c r="R20" s="190">
        <f t="shared" si="10"/>
        <v>48723</v>
      </c>
      <c r="S20" s="190">
        <f t="shared" si="11"/>
        <v>48723</v>
      </c>
      <c r="T20" s="190">
        <f t="shared" si="7"/>
        <v>97446</v>
      </c>
      <c r="U20" s="190"/>
      <c r="V20" s="191">
        <f t="shared" si="8"/>
        <v>97446</v>
      </c>
      <c r="W20" s="191"/>
      <c r="X20" s="191">
        <f>L20-O20-Q20-S20-U20+W20-1</f>
        <v>6893707.5000000009</v>
      </c>
      <c r="Y20" s="189"/>
      <c r="Z20" s="192"/>
    </row>
    <row r="21" spans="1:26" s="193" customFormat="1" ht="30.75" customHeight="1">
      <c r="A21" s="189">
        <v>11</v>
      </c>
      <c r="B21" s="189" t="s">
        <v>8</v>
      </c>
      <c r="C21" s="195" t="s">
        <v>9</v>
      </c>
      <c r="D21" s="194">
        <v>2.86</v>
      </c>
      <c r="E21" s="189">
        <v>0.2</v>
      </c>
      <c r="F21" s="189">
        <v>0.2</v>
      </c>
      <c r="G21" s="189">
        <v>0.1</v>
      </c>
      <c r="H21" s="180"/>
      <c r="I21" s="180"/>
      <c r="J21" s="180"/>
      <c r="K21" s="180">
        <f t="shared" si="1"/>
        <v>3.3600000000000003</v>
      </c>
      <c r="L21" s="190">
        <f t="shared" si="2"/>
        <v>5006400.0000000009</v>
      </c>
      <c r="M21" s="189">
        <v>22</v>
      </c>
      <c r="N21" s="190">
        <f t="shared" si="3"/>
        <v>797895</v>
      </c>
      <c r="O21" s="190">
        <f t="shared" si="4"/>
        <v>364752</v>
      </c>
      <c r="P21" s="190">
        <f t="shared" si="5"/>
        <v>136782</v>
      </c>
      <c r="Q21" s="190">
        <f t="shared" si="6"/>
        <v>68391</v>
      </c>
      <c r="R21" s="190">
        <f t="shared" si="10"/>
        <v>45594</v>
      </c>
      <c r="S21" s="190">
        <f t="shared" si="11"/>
        <v>45594</v>
      </c>
      <c r="T21" s="190">
        <f t="shared" si="7"/>
        <v>91188</v>
      </c>
      <c r="U21" s="190"/>
      <c r="V21" s="191">
        <f t="shared" si="8"/>
        <v>91188</v>
      </c>
      <c r="W21" s="191"/>
      <c r="X21" s="191">
        <f t="shared" si="9"/>
        <v>4527663.0000000009</v>
      </c>
      <c r="Y21" s="189"/>
      <c r="Z21" s="192"/>
    </row>
    <row r="22" spans="1:26" s="193" customFormat="1" ht="30.75" customHeight="1">
      <c r="A22" s="189">
        <v>12</v>
      </c>
      <c r="B22" s="189" t="s">
        <v>184</v>
      </c>
      <c r="C22" s="189" t="s">
        <v>71</v>
      </c>
      <c r="D22" s="194">
        <v>2.72</v>
      </c>
      <c r="E22" s="189"/>
      <c r="F22" s="189">
        <v>0.2</v>
      </c>
      <c r="G22" s="189"/>
      <c r="H22" s="180"/>
      <c r="I22" s="180">
        <f>(D22+E22)*8%</f>
        <v>0.21760000000000002</v>
      </c>
      <c r="J22" s="180">
        <f t="shared" si="0"/>
        <v>1.36</v>
      </c>
      <c r="K22" s="180">
        <f t="shared" si="1"/>
        <v>4.4976000000000003</v>
      </c>
      <c r="L22" s="190">
        <f t="shared" si="2"/>
        <v>6701424</v>
      </c>
      <c r="M22" s="189">
        <v>22</v>
      </c>
      <c r="N22" s="190">
        <f t="shared" si="3"/>
        <v>765979.2</v>
      </c>
      <c r="O22" s="190">
        <f t="shared" si="4"/>
        <v>350161.91999999998</v>
      </c>
      <c r="P22" s="190">
        <f t="shared" si="5"/>
        <v>131310.72</v>
      </c>
      <c r="Q22" s="190">
        <f t="shared" si="6"/>
        <v>65655.360000000001</v>
      </c>
      <c r="R22" s="190">
        <f t="shared" si="10"/>
        <v>43770.240000000005</v>
      </c>
      <c r="S22" s="190">
        <f t="shared" si="11"/>
        <v>43770.240000000005</v>
      </c>
      <c r="T22" s="190">
        <f t="shared" si="7"/>
        <v>87540.48000000001</v>
      </c>
      <c r="U22" s="190"/>
      <c r="V22" s="191">
        <f t="shared" si="8"/>
        <v>87540.48000000001</v>
      </c>
      <c r="W22" s="191"/>
      <c r="X22" s="191">
        <f t="shared" si="9"/>
        <v>6241836.4799999995</v>
      </c>
      <c r="Y22" s="189"/>
      <c r="Z22" s="192"/>
    </row>
    <row r="23" spans="1:26" s="156" customFormat="1" ht="30.75" customHeight="1">
      <c r="A23" s="179">
        <v>13</v>
      </c>
      <c r="B23" s="179" t="s">
        <v>185</v>
      </c>
      <c r="C23" s="179" t="s">
        <v>71</v>
      </c>
      <c r="D23" s="215">
        <v>2.41</v>
      </c>
      <c r="E23" s="179"/>
      <c r="F23" s="179">
        <v>0.2</v>
      </c>
      <c r="G23" s="179"/>
      <c r="H23" s="216"/>
      <c r="I23" s="216"/>
      <c r="J23" s="216">
        <f t="shared" si="0"/>
        <v>1.2050000000000001</v>
      </c>
      <c r="K23" s="216">
        <f t="shared" si="1"/>
        <v>3.8150000000000004</v>
      </c>
      <c r="L23" s="149">
        <f t="shared" si="2"/>
        <v>5684350.0000000009</v>
      </c>
      <c r="M23" s="179">
        <v>22</v>
      </c>
      <c r="N23" s="149">
        <f t="shared" si="3"/>
        <v>628407.5</v>
      </c>
      <c r="O23" s="149">
        <f t="shared" si="4"/>
        <v>287272</v>
      </c>
      <c r="P23" s="149">
        <f t="shared" si="5"/>
        <v>107727</v>
      </c>
      <c r="Q23" s="149">
        <f t="shared" si="6"/>
        <v>53863.5</v>
      </c>
      <c r="R23" s="149">
        <f t="shared" si="10"/>
        <v>35909.000000000007</v>
      </c>
      <c r="S23" s="149">
        <f t="shared" si="11"/>
        <v>35909.000000000007</v>
      </c>
      <c r="T23" s="149">
        <f t="shared" si="7"/>
        <v>71818.000000000015</v>
      </c>
      <c r="U23" s="149"/>
      <c r="V23" s="217">
        <f t="shared" si="8"/>
        <v>71818.000000000015</v>
      </c>
      <c r="W23" s="217"/>
      <c r="X23" s="217">
        <f>L23-O23-Q23-S23-U23+W23-1</f>
        <v>5307304.5000000009</v>
      </c>
      <c r="Y23" s="179"/>
      <c r="Z23" s="218"/>
    </row>
    <row r="24" spans="1:26" s="193" customFormat="1" ht="30.75" customHeight="1">
      <c r="A24" s="189">
        <v>14</v>
      </c>
      <c r="B24" s="189" t="s">
        <v>186</v>
      </c>
      <c r="C24" s="189" t="s">
        <v>70</v>
      </c>
      <c r="D24" s="194">
        <v>2.2599999999999998</v>
      </c>
      <c r="E24" s="189"/>
      <c r="F24" s="189">
        <v>0.2</v>
      </c>
      <c r="G24" s="189"/>
      <c r="H24" s="180"/>
      <c r="I24" s="180"/>
      <c r="J24" s="180">
        <f>(D24+E24+H24)*50%</f>
        <v>1.1299999999999999</v>
      </c>
      <c r="K24" s="180">
        <f t="shared" si="1"/>
        <v>3.59</v>
      </c>
      <c r="L24" s="190">
        <f t="shared" si="2"/>
        <v>5349100</v>
      </c>
      <c r="M24" s="189">
        <v>22</v>
      </c>
      <c r="N24" s="190">
        <f t="shared" si="3"/>
        <v>589294.99999999988</v>
      </c>
      <c r="O24" s="190">
        <f t="shared" si="4"/>
        <v>269391.99999999994</v>
      </c>
      <c r="P24" s="190">
        <f t="shared" si="5"/>
        <v>101021.99999999999</v>
      </c>
      <c r="Q24" s="190">
        <f t="shared" si="6"/>
        <v>50510.999999999985</v>
      </c>
      <c r="R24" s="190">
        <f t="shared" si="10"/>
        <v>33674</v>
      </c>
      <c r="S24" s="190">
        <f t="shared" si="11"/>
        <v>33674</v>
      </c>
      <c r="T24" s="190">
        <f t="shared" si="7"/>
        <v>67348</v>
      </c>
      <c r="U24" s="190"/>
      <c r="V24" s="191">
        <f t="shared" si="8"/>
        <v>67348</v>
      </c>
      <c r="W24" s="191"/>
      <c r="X24" s="191">
        <f>L24-O24-Q24-S24-U24+W24</f>
        <v>4995523</v>
      </c>
      <c r="Y24" s="212"/>
      <c r="Z24" s="192"/>
    </row>
    <row r="25" spans="1:26" s="193" customFormat="1" ht="30.75" customHeight="1">
      <c r="A25" s="189">
        <v>15</v>
      </c>
      <c r="B25" s="189" t="s">
        <v>187</v>
      </c>
      <c r="C25" s="189" t="s">
        <v>71</v>
      </c>
      <c r="D25" s="194">
        <v>2.1</v>
      </c>
      <c r="E25" s="189">
        <v>0.2</v>
      </c>
      <c r="F25" s="189">
        <v>0.2</v>
      </c>
      <c r="G25" s="189"/>
      <c r="H25" s="180"/>
      <c r="I25" s="180"/>
      <c r="J25" s="180">
        <f t="shared" si="0"/>
        <v>1.1500000000000001</v>
      </c>
      <c r="K25" s="180">
        <f t="shared" si="1"/>
        <v>3.6500000000000004</v>
      </c>
      <c r="L25" s="190">
        <f t="shared" si="2"/>
        <v>5438500.0000000009</v>
      </c>
      <c r="M25" s="189">
        <v>22</v>
      </c>
      <c r="N25" s="190">
        <f t="shared" si="3"/>
        <v>599725</v>
      </c>
      <c r="O25" s="190">
        <f t="shared" si="4"/>
        <v>274160.00000000006</v>
      </c>
      <c r="P25" s="190">
        <f t="shared" si="5"/>
        <v>102810.00000000001</v>
      </c>
      <c r="Q25" s="190">
        <f t="shared" si="6"/>
        <v>51405.000000000007</v>
      </c>
      <c r="R25" s="190">
        <f t="shared" si="10"/>
        <v>34270.000000000007</v>
      </c>
      <c r="S25" s="190">
        <f t="shared" si="11"/>
        <v>34270.000000000007</v>
      </c>
      <c r="T25" s="190">
        <f t="shared" si="7"/>
        <v>68540.000000000015</v>
      </c>
      <c r="U25" s="190"/>
      <c r="V25" s="191">
        <f t="shared" si="8"/>
        <v>68540.000000000015</v>
      </c>
      <c r="W25" s="191"/>
      <c r="X25" s="191">
        <f t="shared" si="9"/>
        <v>5078665.0000000009</v>
      </c>
      <c r="Y25" s="189"/>
      <c r="Z25" s="192"/>
    </row>
    <row r="26" spans="1:26" s="193" customFormat="1" ht="30.75" customHeight="1">
      <c r="A26" s="189">
        <v>16</v>
      </c>
      <c r="B26" s="189" t="s">
        <v>188</v>
      </c>
      <c r="C26" s="189" t="s">
        <v>71</v>
      </c>
      <c r="D26" s="194">
        <v>2.1</v>
      </c>
      <c r="E26" s="189"/>
      <c r="F26" s="189">
        <v>0.2</v>
      </c>
      <c r="G26" s="189">
        <v>0.1</v>
      </c>
      <c r="H26" s="180"/>
      <c r="I26" s="180"/>
      <c r="J26" s="180">
        <f t="shared" si="0"/>
        <v>1.05</v>
      </c>
      <c r="K26" s="180">
        <f>SUM(D26:J26)</f>
        <v>3.45</v>
      </c>
      <c r="L26" s="190">
        <f>K26*1490000</f>
        <v>5140500</v>
      </c>
      <c r="M26" s="189">
        <v>22</v>
      </c>
      <c r="N26" s="190">
        <f t="shared" si="3"/>
        <v>547575</v>
      </c>
      <c r="O26" s="190">
        <f t="shared" si="4"/>
        <v>250320</v>
      </c>
      <c r="P26" s="190">
        <f t="shared" si="5"/>
        <v>93870</v>
      </c>
      <c r="Q26" s="190">
        <f t="shared" si="6"/>
        <v>46935</v>
      </c>
      <c r="R26" s="190">
        <f t="shared" si="10"/>
        <v>31290.000000000004</v>
      </c>
      <c r="S26" s="190">
        <f t="shared" si="11"/>
        <v>31290.000000000004</v>
      </c>
      <c r="T26" s="190">
        <f t="shared" si="7"/>
        <v>62580.000000000007</v>
      </c>
      <c r="U26" s="190"/>
      <c r="V26" s="191">
        <f t="shared" si="8"/>
        <v>62580.000000000007</v>
      </c>
      <c r="W26" s="191"/>
      <c r="X26" s="191">
        <f t="shared" si="9"/>
        <v>4811955</v>
      </c>
      <c r="Y26" s="189"/>
      <c r="Z26" s="192"/>
    </row>
    <row r="27" spans="1:26" s="156" customFormat="1" ht="37.5" customHeight="1">
      <c r="A27" s="278" t="s">
        <v>43</v>
      </c>
      <c r="B27" s="279"/>
      <c r="C27" s="179"/>
      <c r="D27" s="179">
        <f t="shared" ref="D27:L27" si="12">SUM(D11:D26)</f>
        <v>52.440000000000005</v>
      </c>
      <c r="E27" s="179">
        <f t="shared" si="12"/>
        <v>1.5999999999999999</v>
      </c>
      <c r="F27" s="179">
        <f t="shared" si="12"/>
        <v>3.2000000000000006</v>
      </c>
      <c r="G27" s="179">
        <f t="shared" si="12"/>
        <v>0.2</v>
      </c>
      <c r="H27" s="181">
        <f t="shared" si="12"/>
        <v>0.64959999999999996</v>
      </c>
      <c r="I27" s="181">
        <f t="shared" si="12"/>
        <v>8.5678760000000018</v>
      </c>
      <c r="J27" s="181">
        <f t="shared" si="12"/>
        <v>25.814799999999998</v>
      </c>
      <c r="K27" s="181">
        <f t="shared" si="12"/>
        <v>92.472276000000022</v>
      </c>
      <c r="L27" s="149">
        <f t="shared" si="12"/>
        <v>137783691.24000001</v>
      </c>
      <c r="M27" s="149"/>
      <c r="N27" s="149">
        <f t="shared" ref="N27:W27" si="13">SUM(N11:N26)</f>
        <v>16494386.866999999</v>
      </c>
      <c r="O27" s="149">
        <f t="shared" si="13"/>
        <v>7540291.1392000001</v>
      </c>
      <c r="P27" s="149">
        <f t="shared" si="13"/>
        <v>2827609.1772000003</v>
      </c>
      <c r="Q27" s="149">
        <f t="shared" si="13"/>
        <v>1413804.5886000001</v>
      </c>
      <c r="R27" s="149">
        <f t="shared" si="13"/>
        <v>837205.31240000005</v>
      </c>
      <c r="S27" s="149">
        <f t="shared" si="13"/>
        <v>837205.31240000005</v>
      </c>
      <c r="T27" s="149">
        <f t="shared" si="13"/>
        <v>1885072.7848000003</v>
      </c>
      <c r="U27" s="149">
        <f t="shared" si="13"/>
        <v>0</v>
      </c>
      <c r="V27" s="149">
        <f t="shared" si="13"/>
        <v>1885072.7848000003</v>
      </c>
      <c r="W27" s="149">
        <f t="shared" si="13"/>
        <v>0</v>
      </c>
      <c r="X27" s="149">
        <f>SUM(X11:X26)+3</f>
        <v>127992390.1998</v>
      </c>
      <c r="Y27" s="179"/>
    </row>
    <row r="29" spans="1:26" ht="23.25" customHeight="1">
      <c r="A29" s="182" t="s">
        <v>240</v>
      </c>
      <c r="X29" s="59"/>
    </row>
    <row r="30" spans="1:26">
      <c r="S30" s="275" t="s">
        <v>218</v>
      </c>
      <c r="T30" s="275"/>
      <c r="U30" s="275"/>
      <c r="V30" s="275"/>
      <c r="W30" s="275"/>
      <c r="X30" s="59"/>
    </row>
    <row r="31" spans="1:26" s="145" customFormat="1" ht="18">
      <c r="B31" s="280" t="s">
        <v>143</v>
      </c>
      <c r="C31" s="280"/>
      <c r="D31" s="280"/>
      <c r="F31" s="156"/>
      <c r="G31" s="3"/>
      <c r="H31" s="155"/>
      <c r="I31" s="146"/>
      <c r="J31" s="281" t="s">
        <v>26</v>
      </c>
      <c r="K31" s="281"/>
      <c r="L31" s="281"/>
      <c r="M31" s="281"/>
      <c r="N31" s="281"/>
      <c r="O31" s="188"/>
      <c r="P31" s="185"/>
      <c r="S31" s="281" t="s">
        <v>45</v>
      </c>
      <c r="T31" s="281"/>
      <c r="U31" s="281"/>
      <c r="V31" s="281"/>
      <c r="W31" s="281"/>
    </row>
    <row r="32" spans="1:26" ht="15">
      <c r="F32" s="156"/>
      <c r="I32" s="143"/>
      <c r="P32" s="59"/>
    </row>
    <row r="33" spans="2:20" ht="15">
      <c r="F33" s="156"/>
      <c r="I33" s="143"/>
      <c r="L33" s="59"/>
      <c r="P33" s="59"/>
    </row>
    <row r="34" spans="2:20">
      <c r="I34" s="143"/>
      <c r="K34" s="3" t="s">
        <v>212</v>
      </c>
      <c r="O34" s="144"/>
    </row>
    <row r="35" spans="2:20">
      <c r="I35" s="143"/>
    </row>
    <row r="36" spans="2:20">
      <c r="B36" s="275" t="s">
        <v>8</v>
      </c>
      <c r="C36" s="275"/>
      <c r="D36" s="275"/>
      <c r="I36" s="143"/>
      <c r="J36" s="275" t="s">
        <v>8</v>
      </c>
      <c r="K36" s="275"/>
      <c r="L36" s="275"/>
      <c r="M36" s="275"/>
      <c r="N36" s="275"/>
    </row>
    <row r="37" spans="2:20">
      <c r="I37" s="143"/>
    </row>
    <row r="38" spans="2:20">
      <c r="I38" s="143"/>
    </row>
    <row r="39" spans="2:20">
      <c r="I39" s="143"/>
    </row>
    <row r="40" spans="2:20">
      <c r="I40" s="143"/>
    </row>
    <row r="41" spans="2:20">
      <c r="I41" s="143"/>
      <c r="T41" s="59"/>
    </row>
    <row r="42" spans="2:20">
      <c r="I42" s="143"/>
    </row>
    <row r="43" spans="2:20">
      <c r="I43" s="143"/>
    </row>
    <row r="44" spans="2:20">
      <c r="I44" s="143"/>
    </row>
    <row r="45" spans="2:20">
      <c r="I45" s="143"/>
    </row>
    <row r="46" spans="2:20">
      <c r="I46" s="143"/>
    </row>
    <row r="47" spans="2:20">
      <c r="I47" s="143"/>
    </row>
    <row r="48" spans="2:20">
      <c r="I48" s="143"/>
    </row>
    <row r="49" spans="9:9">
      <c r="I49" s="143"/>
    </row>
    <row r="50" spans="9:9">
      <c r="I50" s="143"/>
    </row>
    <row r="51" spans="9:9">
      <c r="I51" s="143"/>
    </row>
    <row r="52" spans="9:9">
      <c r="I52" s="143"/>
    </row>
    <row r="53" spans="9:9">
      <c r="I53" s="143"/>
    </row>
    <row r="54" spans="9:9">
      <c r="I54" s="144"/>
    </row>
  </sheetData>
  <mergeCells count="29">
    <mergeCell ref="J9:J10"/>
    <mergeCell ref="K9:K10"/>
    <mergeCell ref="L9:L10"/>
    <mergeCell ref="A5:Y5"/>
    <mergeCell ref="A6:Y6"/>
    <mergeCell ref="A7:Y7"/>
    <mergeCell ref="A9:A10"/>
    <mergeCell ref="B9:B10"/>
    <mergeCell ref="C9:C10"/>
    <mergeCell ref="D9:D10"/>
    <mergeCell ref="E9:E10"/>
    <mergeCell ref="F9:F10"/>
    <mergeCell ref="G9:G10"/>
    <mergeCell ref="B36:D36"/>
    <mergeCell ref="J36:N36"/>
    <mergeCell ref="Y9:Y10"/>
    <mergeCell ref="A27:B27"/>
    <mergeCell ref="S30:W30"/>
    <mergeCell ref="B31:D31"/>
    <mergeCell ref="J31:N31"/>
    <mergeCell ref="S31:W31"/>
    <mergeCell ref="M9:M10"/>
    <mergeCell ref="N9:O9"/>
    <mergeCell ref="P9:Q9"/>
    <mergeCell ref="R9:S9"/>
    <mergeCell ref="T9:W9"/>
    <mergeCell ref="X9:X10"/>
    <mergeCell ref="H9:H10"/>
    <mergeCell ref="I9:I10"/>
  </mergeCells>
  <pageMargins left="0" right="0" top="0" bottom="0" header="0.3" footer="0.3"/>
  <pageSetup paperSize="9" scale="5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28"/>
  <sheetViews>
    <sheetView topLeftCell="B7" workbookViewId="0">
      <selection activeCell="B16" sqref="A16:XFD16"/>
    </sheetView>
  </sheetViews>
  <sheetFormatPr defaultRowHeight="12.75"/>
  <cols>
    <col min="1" max="1" width="4.28515625" style="3" customWidth="1"/>
    <col min="2" max="2" width="23.85546875" style="3" customWidth="1"/>
    <col min="3" max="3" width="7.7109375" style="3" customWidth="1"/>
    <col min="4" max="4" width="8" style="3" customWidth="1"/>
    <col min="5" max="5" width="7.5703125" style="3" customWidth="1"/>
    <col min="6" max="6" width="9.28515625" style="3" bestFit="1" customWidth="1"/>
    <col min="7" max="7" width="17.28515625" style="3" customWidth="1"/>
    <col min="8" max="8" width="12.140625" style="3" customWidth="1"/>
    <col min="9" max="9" width="13.28515625" style="3" customWidth="1"/>
    <col min="10" max="10" width="13.140625" style="3" customWidth="1"/>
    <col min="11" max="11" width="10.7109375" style="3" customWidth="1"/>
    <col min="12" max="12" width="11.28515625" style="3" customWidth="1"/>
    <col min="13" max="14" width="11.28515625" style="3" bestFit="1" customWidth="1"/>
    <col min="15" max="15" width="11.85546875" style="3" customWidth="1"/>
    <col min="16" max="16" width="8.28515625" style="3" customWidth="1"/>
    <col min="17" max="18" width="12.5703125" style="3" customWidth="1"/>
    <col min="19" max="19" width="14.7109375" style="3" customWidth="1"/>
    <col min="20" max="20" width="9.42578125" style="3" customWidth="1"/>
    <col min="21" max="253" width="9.140625" style="3"/>
    <col min="254" max="254" width="4.28515625" style="3" customWidth="1"/>
    <col min="255" max="255" width="22.7109375" style="3" customWidth="1"/>
    <col min="256" max="256" width="10.28515625" style="3" customWidth="1"/>
    <col min="257" max="257" width="7.42578125" style="3" customWidth="1"/>
    <col min="258" max="258" width="6.28515625" style="3" customWidth="1"/>
    <col min="259" max="259" width="6.140625" style="3" customWidth="1"/>
    <col min="260" max="260" width="9.140625" style="3"/>
    <col min="261" max="261" width="14" style="3" customWidth="1"/>
    <col min="262" max="262" width="9.140625" style="3"/>
    <col min="263" max="263" width="13.28515625" style="3" customWidth="1"/>
    <col min="264" max="264" width="10" style="3" customWidth="1"/>
    <col min="265" max="265" width="10.7109375" style="3" customWidth="1"/>
    <col min="266" max="268" width="9.140625" style="3"/>
    <col min="269" max="269" width="10" style="3" customWidth="1"/>
    <col min="270" max="274" width="9.140625" style="3"/>
    <col min="275" max="275" width="13" style="3" customWidth="1"/>
    <col min="276" max="509" width="9.140625" style="3"/>
    <col min="510" max="510" width="4.28515625" style="3" customWidth="1"/>
    <col min="511" max="511" width="22.7109375" style="3" customWidth="1"/>
    <col min="512" max="512" width="10.28515625" style="3" customWidth="1"/>
    <col min="513" max="513" width="7.42578125" style="3" customWidth="1"/>
    <col min="514" max="514" width="6.28515625" style="3" customWidth="1"/>
    <col min="515" max="515" width="6.140625" style="3" customWidth="1"/>
    <col min="516" max="516" width="9.140625" style="3"/>
    <col min="517" max="517" width="14" style="3" customWidth="1"/>
    <col min="518" max="518" width="9.140625" style="3"/>
    <col min="519" max="519" width="13.28515625" style="3" customWidth="1"/>
    <col min="520" max="520" width="10" style="3" customWidth="1"/>
    <col min="521" max="521" width="10.7109375" style="3" customWidth="1"/>
    <col min="522" max="524" width="9.140625" style="3"/>
    <col min="525" max="525" width="10" style="3" customWidth="1"/>
    <col min="526" max="530" width="9.140625" style="3"/>
    <col min="531" max="531" width="13" style="3" customWidth="1"/>
    <col min="532" max="765" width="9.140625" style="3"/>
    <col min="766" max="766" width="4.28515625" style="3" customWidth="1"/>
    <col min="767" max="767" width="22.7109375" style="3" customWidth="1"/>
    <col min="768" max="768" width="10.28515625" style="3" customWidth="1"/>
    <col min="769" max="769" width="7.42578125" style="3" customWidth="1"/>
    <col min="770" max="770" width="6.28515625" style="3" customWidth="1"/>
    <col min="771" max="771" width="6.140625" style="3" customWidth="1"/>
    <col min="772" max="772" width="9.140625" style="3"/>
    <col min="773" max="773" width="14" style="3" customWidth="1"/>
    <col min="774" max="774" width="9.140625" style="3"/>
    <col min="775" max="775" width="13.28515625" style="3" customWidth="1"/>
    <col min="776" max="776" width="10" style="3" customWidth="1"/>
    <col min="777" max="777" width="10.7109375" style="3" customWidth="1"/>
    <col min="778" max="780" width="9.140625" style="3"/>
    <col min="781" max="781" width="10" style="3" customWidth="1"/>
    <col min="782" max="786" width="9.140625" style="3"/>
    <col min="787" max="787" width="13" style="3" customWidth="1"/>
    <col min="788" max="1021" width="9.140625" style="3"/>
    <col min="1022" max="1022" width="4.28515625" style="3" customWidth="1"/>
    <col min="1023" max="1023" width="22.7109375" style="3" customWidth="1"/>
    <col min="1024" max="1024" width="10.28515625" style="3" customWidth="1"/>
    <col min="1025" max="1025" width="7.42578125" style="3" customWidth="1"/>
    <col min="1026" max="1026" width="6.28515625" style="3" customWidth="1"/>
    <col min="1027" max="1027" width="6.140625" style="3" customWidth="1"/>
    <col min="1028" max="1028" width="9.140625" style="3"/>
    <col min="1029" max="1029" width="14" style="3" customWidth="1"/>
    <col min="1030" max="1030" width="9.140625" style="3"/>
    <col min="1031" max="1031" width="13.28515625" style="3" customWidth="1"/>
    <col min="1032" max="1032" width="10" style="3" customWidth="1"/>
    <col min="1033" max="1033" width="10.7109375" style="3" customWidth="1"/>
    <col min="1034" max="1036" width="9.140625" style="3"/>
    <col min="1037" max="1037" width="10" style="3" customWidth="1"/>
    <col min="1038" max="1042" width="9.140625" style="3"/>
    <col min="1043" max="1043" width="13" style="3" customWidth="1"/>
    <col min="1044" max="1277" width="9.140625" style="3"/>
    <col min="1278" max="1278" width="4.28515625" style="3" customWidth="1"/>
    <col min="1279" max="1279" width="22.7109375" style="3" customWidth="1"/>
    <col min="1280" max="1280" width="10.28515625" style="3" customWidth="1"/>
    <col min="1281" max="1281" width="7.42578125" style="3" customWidth="1"/>
    <col min="1282" max="1282" width="6.28515625" style="3" customWidth="1"/>
    <col min="1283" max="1283" width="6.140625" style="3" customWidth="1"/>
    <col min="1284" max="1284" width="9.140625" style="3"/>
    <col min="1285" max="1285" width="14" style="3" customWidth="1"/>
    <col min="1286" max="1286" width="9.140625" style="3"/>
    <col min="1287" max="1287" width="13.28515625" style="3" customWidth="1"/>
    <col min="1288" max="1288" width="10" style="3" customWidth="1"/>
    <col min="1289" max="1289" width="10.7109375" style="3" customWidth="1"/>
    <col min="1290" max="1292" width="9.140625" style="3"/>
    <col min="1293" max="1293" width="10" style="3" customWidth="1"/>
    <col min="1294" max="1298" width="9.140625" style="3"/>
    <col min="1299" max="1299" width="13" style="3" customWidth="1"/>
    <col min="1300" max="1533" width="9.140625" style="3"/>
    <col min="1534" max="1534" width="4.28515625" style="3" customWidth="1"/>
    <col min="1535" max="1535" width="22.7109375" style="3" customWidth="1"/>
    <col min="1536" max="1536" width="10.28515625" style="3" customWidth="1"/>
    <col min="1537" max="1537" width="7.42578125" style="3" customWidth="1"/>
    <col min="1538" max="1538" width="6.28515625" style="3" customWidth="1"/>
    <col min="1539" max="1539" width="6.140625" style="3" customWidth="1"/>
    <col min="1540" max="1540" width="9.140625" style="3"/>
    <col min="1541" max="1541" width="14" style="3" customWidth="1"/>
    <col min="1542" max="1542" width="9.140625" style="3"/>
    <col min="1543" max="1543" width="13.28515625" style="3" customWidth="1"/>
    <col min="1544" max="1544" width="10" style="3" customWidth="1"/>
    <col min="1545" max="1545" width="10.7109375" style="3" customWidth="1"/>
    <col min="1546" max="1548" width="9.140625" style="3"/>
    <col min="1549" max="1549" width="10" style="3" customWidth="1"/>
    <col min="1550" max="1554" width="9.140625" style="3"/>
    <col min="1555" max="1555" width="13" style="3" customWidth="1"/>
    <col min="1556" max="1789" width="9.140625" style="3"/>
    <col min="1790" max="1790" width="4.28515625" style="3" customWidth="1"/>
    <col min="1791" max="1791" width="22.7109375" style="3" customWidth="1"/>
    <col min="1792" max="1792" width="10.28515625" style="3" customWidth="1"/>
    <col min="1793" max="1793" width="7.42578125" style="3" customWidth="1"/>
    <col min="1794" max="1794" width="6.28515625" style="3" customWidth="1"/>
    <col min="1795" max="1795" width="6.140625" style="3" customWidth="1"/>
    <col min="1796" max="1796" width="9.140625" style="3"/>
    <col min="1797" max="1797" width="14" style="3" customWidth="1"/>
    <col min="1798" max="1798" width="9.140625" style="3"/>
    <col min="1799" max="1799" width="13.28515625" style="3" customWidth="1"/>
    <col min="1800" max="1800" width="10" style="3" customWidth="1"/>
    <col min="1801" max="1801" width="10.7109375" style="3" customWidth="1"/>
    <col min="1802" max="1804" width="9.140625" style="3"/>
    <col min="1805" max="1805" width="10" style="3" customWidth="1"/>
    <col min="1806" max="1810" width="9.140625" style="3"/>
    <col min="1811" max="1811" width="13" style="3" customWidth="1"/>
    <col min="1812" max="2045" width="9.140625" style="3"/>
    <col min="2046" max="2046" width="4.28515625" style="3" customWidth="1"/>
    <col min="2047" max="2047" width="22.7109375" style="3" customWidth="1"/>
    <col min="2048" max="2048" width="10.28515625" style="3" customWidth="1"/>
    <col min="2049" max="2049" width="7.42578125" style="3" customWidth="1"/>
    <col min="2050" max="2050" width="6.28515625" style="3" customWidth="1"/>
    <col min="2051" max="2051" width="6.140625" style="3" customWidth="1"/>
    <col min="2052" max="2052" width="9.140625" style="3"/>
    <col min="2053" max="2053" width="14" style="3" customWidth="1"/>
    <col min="2054" max="2054" width="9.140625" style="3"/>
    <col min="2055" max="2055" width="13.28515625" style="3" customWidth="1"/>
    <col min="2056" max="2056" width="10" style="3" customWidth="1"/>
    <col min="2057" max="2057" width="10.7109375" style="3" customWidth="1"/>
    <col min="2058" max="2060" width="9.140625" style="3"/>
    <col min="2061" max="2061" width="10" style="3" customWidth="1"/>
    <col min="2062" max="2066" width="9.140625" style="3"/>
    <col min="2067" max="2067" width="13" style="3" customWidth="1"/>
    <col min="2068" max="2301" width="9.140625" style="3"/>
    <col min="2302" max="2302" width="4.28515625" style="3" customWidth="1"/>
    <col min="2303" max="2303" width="22.7109375" style="3" customWidth="1"/>
    <col min="2304" max="2304" width="10.28515625" style="3" customWidth="1"/>
    <col min="2305" max="2305" width="7.42578125" style="3" customWidth="1"/>
    <col min="2306" max="2306" width="6.28515625" style="3" customWidth="1"/>
    <col min="2307" max="2307" width="6.140625" style="3" customWidth="1"/>
    <col min="2308" max="2308" width="9.140625" style="3"/>
    <col min="2309" max="2309" width="14" style="3" customWidth="1"/>
    <col min="2310" max="2310" width="9.140625" style="3"/>
    <col min="2311" max="2311" width="13.28515625" style="3" customWidth="1"/>
    <col min="2312" max="2312" width="10" style="3" customWidth="1"/>
    <col min="2313" max="2313" width="10.7109375" style="3" customWidth="1"/>
    <col min="2314" max="2316" width="9.140625" style="3"/>
    <col min="2317" max="2317" width="10" style="3" customWidth="1"/>
    <col min="2318" max="2322" width="9.140625" style="3"/>
    <col min="2323" max="2323" width="13" style="3" customWidth="1"/>
    <col min="2324" max="2557" width="9.140625" style="3"/>
    <col min="2558" max="2558" width="4.28515625" style="3" customWidth="1"/>
    <col min="2559" max="2559" width="22.7109375" style="3" customWidth="1"/>
    <col min="2560" max="2560" width="10.28515625" style="3" customWidth="1"/>
    <col min="2561" max="2561" width="7.42578125" style="3" customWidth="1"/>
    <col min="2562" max="2562" width="6.28515625" style="3" customWidth="1"/>
    <col min="2563" max="2563" width="6.140625" style="3" customWidth="1"/>
    <col min="2564" max="2564" width="9.140625" style="3"/>
    <col min="2565" max="2565" width="14" style="3" customWidth="1"/>
    <col min="2566" max="2566" width="9.140625" style="3"/>
    <col min="2567" max="2567" width="13.28515625" style="3" customWidth="1"/>
    <col min="2568" max="2568" width="10" style="3" customWidth="1"/>
    <col min="2569" max="2569" width="10.7109375" style="3" customWidth="1"/>
    <col min="2570" max="2572" width="9.140625" style="3"/>
    <col min="2573" max="2573" width="10" style="3" customWidth="1"/>
    <col min="2574" max="2578" width="9.140625" style="3"/>
    <col min="2579" max="2579" width="13" style="3" customWidth="1"/>
    <col min="2580" max="2813" width="9.140625" style="3"/>
    <col min="2814" max="2814" width="4.28515625" style="3" customWidth="1"/>
    <col min="2815" max="2815" width="22.7109375" style="3" customWidth="1"/>
    <col min="2816" max="2816" width="10.28515625" style="3" customWidth="1"/>
    <col min="2817" max="2817" width="7.42578125" style="3" customWidth="1"/>
    <col min="2818" max="2818" width="6.28515625" style="3" customWidth="1"/>
    <col min="2819" max="2819" width="6.140625" style="3" customWidth="1"/>
    <col min="2820" max="2820" width="9.140625" style="3"/>
    <col min="2821" max="2821" width="14" style="3" customWidth="1"/>
    <col min="2822" max="2822" width="9.140625" style="3"/>
    <col min="2823" max="2823" width="13.28515625" style="3" customWidth="1"/>
    <col min="2824" max="2824" width="10" style="3" customWidth="1"/>
    <col min="2825" max="2825" width="10.7109375" style="3" customWidth="1"/>
    <col min="2826" max="2828" width="9.140625" style="3"/>
    <col min="2829" max="2829" width="10" style="3" customWidth="1"/>
    <col min="2830" max="2834" width="9.140625" style="3"/>
    <col min="2835" max="2835" width="13" style="3" customWidth="1"/>
    <col min="2836" max="3069" width="9.140625" style="3"/>
    <col min="3070" max="3070" width="4.28515625" style="3" customWidth="1"/>
    <col min="3071" max="3071" width="22.7109375" style="3" customWidth="1"/>
    <col min="3072" max="3072" width="10.28515625" style="3" customWidth="1"/>
    <col min="3073" max="3073" width="7.42578125" style="3" customWidth="1"/>
    <col min="3074" max="3074" width="6.28515625" style="3" customWidth="1"/>
    <col min="3075" max="3075" width="6.140625" style="3" customWidth="1"/>
    <col min="3076" max="3076" width="9.140625" style="3"/>
    <col min="3077" max="3077" width="14" style="3" customWidth="1"/>
    <col min="3078" max="3078" width="9.140625" style="3"/>
    <col min="3079" max="3079" width="13.28515625" style="3" customWidth="1"/>
    <col min="3080" max="3080" width="10" style="3" customWidth="1"/>
    <col min="3081" max="3081" width="10.7109375" style="3" customWidth="1"/>
    <col min="3082" max="3084" width="9.140625" style="3"/>
    <col min="3085" max="3085" width="10" style="3" customWidth="1"/>
    <col min="3086" max="3090" width="9.140625" style="3"/>
    <col min="3091" max="3091" width="13" style="3" customWidth="1"/>
    <col min="3092" max="3325" width="9.140625" style="3"/>
    <col min="3326" max="3326" width="4.28515625" style="3" customWidth="1"/>
    <col min="3327" max="3327" width="22.7109375" style="3" customWidth="1"/>
    <col min="3328" max="3328" width="10.28515625" style="3" customWidth="1"/>
    <col min="3329" max="3329" width="7.42578125" style="3" customWidth="1"/>
    <col min="3330" max="3330" width="6.28515625" style="3" customWidth="1"/>
    <col min="3331" max="3331" width="6.140625" style="3" customWidth="1"/>
    <col min="3332" max="3332" width="9.140625" style="3"/>
    <col min="3333" max="3333" width="14" style="3" customWidth="1"/>
    <col min="3334" max="3334" width="9.140625" style="3"/>
    <col min="3335" max="3335" width="13.28515625" style="3" customWidth="1"/>
    <col min="3336" max="3336" width="10" style="3" customWidth="1"/>
    <col min="3337" max="3337" width="10.7109375" style="3" customWidth="1"/>
    <col min="3338" max="3340" width="9.140625" style="3"/>
    <col min="3341" max="3341" width="10" style="3" customWidth="1"/>
    <col min="3342" max="3346" width="9.140625" style="3"/>
    <col min="3347" max="3347" width="13" style="3" customWidth="1"/>
    <col min="3348" max="3581" width="9.140625" style="3"/>
    <col min="3582" max="3582" width="4.28515625" style="3" customWidth="1"/>
    <col min="3583" max="3583" width="22.7109375" style="3" customWidth="1"/>
    <col min="3584" max="3584" width="10.28515625" style="3" customWidth="1"/>
    <col min="3585" max="3585" width="7.42578125" style="3" customWidth="1"/>
    <col min="3586" max="3586" width="6.28515625" style="3" customWidth="1"/>
    <col min="3587" max="3587" width="6.140625" style="3" customWidth="1"/>
    <col min="3588" max="3588" width="9.140625" style="3"/>
    <col min="3589" max="3589" width="14" style="3" customWidth="1"/>
    <col min="3590" max="3590" width="9.140625" style="3"/>
    <col min="3591" max="3591" width="13.28515625" style="3" customWidth="1"/>
    <col min="3592" max="3592" width="10" style="3" customWidth="1"/>
    <col min="3593" max="3593" width="10.7109375" style="3" customWidth="1"/>
    <col min="3594" max="3596" width="9.140625" style="3"/>
    <col min="3597" max="3597" width="10" style="3" customWidth="1"/>
    <col min="3598" max="3602" width="9.140625" style="3"/>
    <col min="3603" max="3603" width="13" style="3" customWidth="1"/>
    <col min="3604" max="3837" width="9.140625" style="3"/>
    <col min="3838" max="3838" width="4.28515625" style="3" customWidth="1"/>
    <col min="3839" max="3839" width="22.7109375" style="3" customWidth="1"/>
    <col min="3840" max="3840" width="10.28515625" style="3" customWidth="1"/>
    <col min="3841" max="3841" width="7.42578125" style="3" customWidth="1"/>
    <col min="3842" max="3842" width="6.28515625" style="3" customWidth="1"/>
    <col min="3843" max="3843" width="6.140625" style="3" customWidth="1"/>
    <col min="3844" max="3844" width="9.140625" style="3"/>
    <col min="3845" max="3845" width="14" style="3" customWidth="1"/>
    <col min="3846" max="3846" width="9.140625" style="3"/>
    <col min="3847" max="3847" width="13.28515625" style="3" customWidth="1"/>
    <col min="3848" max="3848" width="10" style="3" customWidth="1"/>
    <col min="3849" max="3849" width="10.7109375" style="3" customWidth="1"/>
    <col min="3850" max="3852" width="9.140625" style="3"/>
    <col min="3853" max="3853" width="10" style="3" customWidth="1"/>
    <col min="3854" max="3858" width="9.140625" style="3"/>
    <col min="3859" max="3859" width="13" style="3" customWidth="1"/>
    <col min="3860" max="4093" width="9.140625" style="3"/>
    <col min="4094" max="4094" width="4.28515625" style="3" customWidth="1"/>
    <col min="4095" max="4095" width="22.7109375" style="3" customWidth="1"/>
    <col min="4096" max="4096" width="10.28515625" style="3" customWidth="1"/>
    <col min="4097" max="4097" width="7.42578125" style="3" customWidth="1"/>
    <col min="4098" max="4098" width="6.28515625" style="3" customWidth="1"/>
    <col min="4099" max="4099" width="6.140625" style="3" customWidth="1"/>
    <col min="4100" max="4100" width="9.140625" style="3"/>
    <col min="4101" max="4101" width="14" style="3" customWidth="1"/>
    <col min="4102" max="4102" width="9.140625" style="3"/>
    <col min="4103" max="4103" width="13.28515625" style="3" customWidth="1"/>
    <col min="4104" max="4104" width="10" style="3" customWidth="1"/>
    <col min="4105" max="4105" width="10.7109375" style="3" customWidth="1"/>
    <col min="4106" max="4108" width="9.140625" style="3"/>
    <col min="4109" max="4109" width="10" style="3" customWidth="1"/>
    <col min="4110" max="4114" width="9.140625" style="3"/>
    <col min="4115" max="4115" width="13" style="3" customWidth="1"/>
    <col min="4116" max="4349" width="9.140625" style="3"/>
    <col min="4350" max="4350" width="4.28515625" style="3" customWidth="1"/>
    <col min="4351" max="4351" width="22.7109375" style="3" customWidth="1"/>
    <col min="4352" max="4352" width="10.28515625" style="3" customWidth="1"/>
    <col min="4353" max="4353" width="7.42578125" style="3" customWidth="1"/>
    <col min="4354" max="4354" width="6.28515625" style="3" customWidth="1"/>
    <col min="4355" max="4355" width="6.140625" style="3" customWidth="1"/>
    <col min="4356" max="4356" width="9.140625" style="3"/>
    <col min="4357" max="4357" width="14" style="3" customWidth="1"/>
    <col min="4358" max="4358" width="9.140625" style="3"/>
    <col min="4359" max="4359" width="13.28515625" style="3" customWidth="1"/>
    <col min="4360" max="4360" width="10" style="3" customWidth="1"/>
    <col min="4361" max="4361" width="10.7109375" style="3" customWidth="1"/>
    <col min="4362" max="4364" width="9.140625" style="3"/>
    <col min="4365" max="4365" width="10" style="3" customWidth="1"/>
    <col min="4366" max="4370" width="9.140625" style="3"/>
    <col min="4371" max="4371" width="13" style="3" customWidth="1"/>
    <col min="4372" max="4605" width="9.140625" style="3"/>
    <col min="4606" max="4606" width="4.28515625" style="3" customWidth="1"/>
    <col min="4607" max="4607" width="22.7109375" style="3" customWidth="1"/>
    <col min="4608" max="4608" width="10.28515625" style="3" customWidth="1"/>
    <col min="4609" max="4609" width="7.42578125" style="3" customWidth="1"/>
    <col min="4610" max="4610" width="6.28515625" style="3" customWidth="1"/>
    <col min="4611" max="4611" width="6.140625" style="3" customWidth="1"/>
    <col min="4612" max="4612" width="9.140625" style="3"/>
    <col min="4613" max="4613" width="14" style="3" customWidth="1"/>
    <col min="4614" max="4614" width="9.140625" style="3"/>
    <col min="4615" max="4615" width="13.28515625" style="3" customWidth="1"/>
    <col min="4616" max="4616" width="10" style="3" customWidth="1"/>
    <col min="4617" max="4617" width="10.7109375" style="3" customWidth="1"/>
    <col min="4618" max="4620" width="9.140625" style="3"/>
    <col min="4621" max="4621" width="10" style="3" customWidth="1"/>
    <col min="4622" max="4626" width="9.140625" style="3"/>
    <col min="4627" max="4627" width="13" style="3" customWidth="1"/>
    <col min="4628" max="4861" width="9.140625" style="3"/>
    <col min="4862" max="4862" width="4.28515625" style="3" customWidth="1"/>
    <col min="4863" max="4863" width="22.7109375" style="3" customWidth="1"/>
    <col min="4864" max="4864" width="10.28515625" style="3" customWidth="1"/>
    <col min="4865" max="4865" width="7.42578125" style="3" customWidth="1"/>
    <col min="4866" max="4866" width="6.28515625" style="3" customWidth="1"/>
    <col min="4867" max="4867" width="6.140625" style="3" customWidth="1"/>
    <col min="4868" max="4868" width="9.140625" style="3"/>
    <col min="4869" max="4869" width="14" style="3" customWidth="1"/>
    <col min="4870" max="4870" width="9.140625" style="3"/>
    <col min="4871" max="4871" width="13.28515625" style="3" customWidth="1"/>
    <col min="4872" max="4872" width="10" style="3" customWidth="1"/>
    <col min="4873" max="4873" width="10.7109375" style="3" customWidth="1"/>
    <col min="4874" max="4876" width="9.140625" style="3"/>
    <col min="4877" max="4877" width="10" style="3" customWidth="1"/>
    <col min="4878" max="4882" width="9.140625" style="3"/>
    <col min="4883" max="4883" width="13" style="3" customWidth="1"/>
    <col min="4884" max="5117" width="9.140625" style="3"/>
    <col min="5118" max="5118" width="4.28515625" style="3" customWidth="1"/>
    <col min="5119" max="5119" width="22.7109375" style="3" customWidth="1"/>
    <col min="5120" max="5120" width="10.28515625" style="3" customWidth="1"/>
    <col min="5121" max="5121" width="7.42578125" style="3" customWidth="1"/>
    <col min="5122" max="5122" width="6.28515625" style="3" customWidth="1"/>
    <col min="5123" max="5123" width="6.140625" style="3" customWidth="1"/>
    <col min="5124" max="5124" width="9.140625" style="3"/>
    <col min="5125" max="5125" width="14" style="3" customWidth="1"/>
    <col min="5126" max="5126" width="9.140625" style="3"/>
    <col min="5127" max="5127" width="13.28515625" style="3" customWidth="1"/>
    <col min="5128" max="5128" width="10" style="3" customWidth="1"/>
    <col min="5129" max="5129" width="10.7109375" style="3" customWidth="1"/>
    <col min="5130" max="5132" width="9.140625" style="3"/>
    <col min="5133" max="5133" width="10" style="3" customWidth="1"/>
    <col min="5134" max="5138" width="9.140625" style="3"/>
    <col min="5139" max="5139" width="13" style="3" customWidth="1"/>
    <col min="5140" max="5373" width="9.140625" style="3"/>
    <col min="5374" max="5374" width="4.28515625" style="3" customWidth="1"/>
    <col min="5375" max="5375" width="22.7109375" style="3" customWidth="1"/>
    <col min="5376" max="5376" width="10.28515625" style="3" customWidth="1"/>
    <col min="5377" max="5377" width="7.42578125" style="3" customWidth="1"/>
    <col min="5378" max="5378" width="6.28515625" style="3" customWidth="1"/>
    <col min="5379" max="5379" width="6.140625" style="3" customWidth="1"/>
    <col min="5380" max="5380" width="9.140625" style="3"/>
    <col min="5381" max="5381" width="14" style="3" customWidth="1"/>
    <col min="5382" max="5382" width="9.140625" style="3"/>
    <col min="5383" max="5383" width="13.28515625" style="3" customWidth="1"/>
    <col min="5384" max="5384" width="10" style="3" customWidth="1"/>
    <col min="5385" max="5385" width="10.7109375" style="3" customWidth="1"/>
    <col min="5386" max="5388" width="9.140625" style="3"/>
    <col min="5389" max="5389" width="10" style="3" customWidth="1"/>
    <col min="5390" max="5394" width="9.140625" style="3"/>
    <col min="5395" max="5395" width="13" style="3" customWidth="1"/>
    <col min="5396" max="5629" width="9.140625" style="3"/>
    <col min="5630" max="5630" width="4.28515625" style="3" customWidth="1"/>
    <col min="5631" max="5631" width="22.7109375" style="3" customWidth="1"/>
    <col min="5632" max="5632" width="10.28515625" style="3" customWidth="1"/>
    <col min="5633" max="5633" width="7.42578125" style="3" customWidth="1"/>
    <col min="5634" max="5634" width="6.28515625" style="3" customWidth="1"/>
    <col min="5635" max="5635" width="6.140625" style="3" customWidth="1"/>
    <col min="5636" max="5636" width="9.140625" style="3"/>
    <col min="5637" max="5637" width="14" style="3" customWidth="1"/>
    <col min="5638" max="5638" width="9.140625" style="3"/>
    <col min="5639" max="5639" width="13.28515625" style="3" customWidth="1"/>
    <col min="5640" max="5640" width="10" style="3" customWidth="1"/>
    <col min="5641" max="5641" width="10.7109375" style="3" customWidth="1"/>
    <col min="5642" max="5644" width="9.140625" style="3"/>
    <col min="5645" max="5645" width="10" style="3" customWidth="1"/>
    <col min="5646" max="5650" width="9.140625" style="3"/>
    <col min="5651" max="5651" width="13" style="3" customWidth="1"/>
    <col min="5652" max="5885" width="9.140625" style="3"/>
    <col min="5886" max="5886" width="4.28515625" style="3" customWidth="1"/>
    <col min="5887" max="5887" width="22.7109375" style="3" customWidth="1"/>
    <col min="5888" max="5888" width="10.28515625" style="3" customWidth="1"/>
    <col min="5889" max="5889" width="7.42578125" style="3" customWidth="1"/>
    <col min="5890" max="5890" width="6.28515625" style="3" customWidth="1"/>
    <col min="5891" max="5891" width="6.140625" style="3" customWidth="1"/>
    <col min="5892" max="5892" width="9.140625" style="3"/>
    <col min="5893" max="5893" width="14" style="3" customWidth="1"/>
    <col min="5894" max="5894" width="9.140625" style="3"/>
    <col min="5895" max="5895" width="13.28515625" style="3" customWidth="1"/>
    <col min="5896" max="5896" width="10" style="3" customWidth="1"/>
    <col min="5897" max="5897" width="10.7109375" style="3" customWidth="1"/>
    <col min="5898" max="5900" width="9.140625" style="3"/>
    <col min="5901" max="5901" width="10" style="3" customWidth="1"/>
    <col min="5902" max="5906" width="9.140625" style="3"/>
    <col min="5907" max="5907" width="13" style="3" customWidth="1"/>
    <col min="5908" max="6141" width="9.140625" style="3"/>
    <col min="6142" max="6142" width="4.28515625" style="3" customWidth="1"/>
    <col min="6143" max="6143" width="22.7109375" style="3" customWidth="1"/>
    <col min="6144" max="6144" width="10.28515625" style="3" customWidth="1"/>
    <col min="6145" max="6145" width="7.42578125" style="3" customWidth="1"/>
    <col min="6146" max="6146" width="6.28515625" style="3" customWidth="1"/>
    <col min="6147" max="6147" width="6.140625" style="3" customWidth="1"/>
    <col min="6148" max="6148" width="9.140625" style="3"/>
    <col min="6149" max="6149" width="14" style="3" customWidth="1"/>
    <col min="6150" max="6150" width="9.140625" style="3"/>
    <col min="6151" max="6151" width="13.28515625" style="3" customWidth="1"/>
    <col min="6152" max="6152" width="10" style="3" customWidth="1"/>
    <col min="6153" max="6153" width="10.7109375" style="3" customWidth="1"/>
    <col min="6154" max="6156" width="9.140625" style="3"/>
    <col min="6157" max="6157" width="10" style="3" customWidth="1"/>
    <col min="6158" max="6162" width="9.140625" style="3"/>
    <col min="6163" max="6163" width="13" style="3" customWidth="1"/>
    <col min="6164" max="6397" width="9.140625" style="3"/>
    <col min="6398" max="6398" width="4.28515625" style="3" customWidth="1"/>
    <col min="6399" max="6399" width="22.7109375" style="3" customWidth="1"/>
    <col min="6400" max="6400" width="10.28515625" style="3" customWidth="1"/>
    <col min="6401" max="6401" width="7.42578125" style="3" customWidth="1"/>
    <col min="6402" max="6402" width="6.28515625" style="3" customWidth="1"/>
    <col min="6403" max="6403" width="6.140625" style="3" customWidth="1"/>
    <col min="6404" max="6404" width="9.140625" style="3"/>
    <col min="6405" max="6405" width="14" style="3" customWidth="1"/>
    <col min="6406" max="6406" width="9.140625" style="3"/>
    <col min="6407" max="6407" width="13.28515625" style="3" customWidth="1"/>
    <col min="6408" max="6408" width="10" style="3" customWidth="1"/>
    <col min="6409" max="6409" width="10.7109375" style="3" customWidth="1"/>
    <col min="6410" max="6412" width="9.140625" style="3"/>
    <col min="6413" max="6413" width="10" style="3" customWidth="1"/>
    <col min="6414" max="6418" width="9.140625" style="3"/>
    <col min="6419" max="6419" width="13" style="3" customWidth="1"/>
    <col min="6420" max="6653" width="9.140625" style="3"/>
    <col min="6654" max="6654" width="4.28515625" style="3" customWidth="1"/>
    <col min="6655" max="6655" width="22.7109375" style="3" customWidth="1"/>
    <col min="6656" max="6656" width="10.28515625" style="3" customWidth="1"/>
    <col min="6657" max="6657" width="7.42578125" style="3" customWidth="1"/>
    <col min="6658" max="6658" width="6.28515625" style="3" customWidth="1"/>
    <col min="6659" max="6659" width="6.140625" style="3" customWidth="1"/>
    <col min="6660" max="6660" width="9.140625" style="3"/>
    <col min="6661" max="6661" width="14" style="3" customWidth="1"/>
    <col min="6662" max="6662" width="9.140625" style="3"/>
    <col min="6663" max="6663" width="13.28515625" style="3" customWidth="1"/>
    <col min="6664" max="6664" width="10" style="3" customWidth="1"/>
    <col min="6665" max="6665" width="10.7109375" style="3" customWidth="1"/>
    <col min="6666" max="6668" width="9.140625" style="3"/>
    <col min="6669" max="6669" width="10" style="3" customWidth="1"/>
    <col min="6670" max="6674" width="9.140625" style="3"/>
    <col min="6675" max="6675" width="13" style="3" customWidth="1"/>
    <col min="6676" max="6909" width="9.140625" style="3"/>
    <col min="6910" max="6910" width="4.28515625" style="3" customWidth="1"/>
    <col min="6911" max="6911" width="22.7109375" style="3" customWidth="1"/>
    <col min="6912" max="6912" width="10.28515625" style="3" customWidth="1"/>
    <col min="6913" max="6913" width="7.42578125" style="3" customWidth="1"/>
    <col min="6914" max="6914" width="6.28515625" style="3" customWidth="1"/>
    <col min="6915" max="6915" width="6.140625" style="3" customWidth="1"/>
    <col min="6916" max="6916" width="9.140625" style="3"/>
    <col min="6917" max="6917" width="14" style="3" customWidth="1"/>
    <col min="6918" max="6918" width="9.140625" style="3"/>
    <col min="6919" max="6919" width="13.28515625" style="3" customWidth="1"/>
    <col min="6920" max="6920" width="10" style="3" customWidth="1"/>
    <col min="6921" max="6921" width="10.7109375" style="3" customWidth="1"/>
    <col min="6922" max="6924" width="9.140625" style="3"/>
    <col min="6925" max="6925" width="10" style="3" customWidth="1"/>
    <col min="6926" max="6930" width="9.140625" style="3"/>
    <col min="6931" max="6931" width="13" style="3" customWidth="1"/>
    <col min="6932" max="7165" width="9.140625" style="3"/>
    <col min="7166" max="7166" width="4.28515625" style="3" customWidth="1"/>
    <col min="7167" max="7167" width="22.7109375" style="3" customWidth="1"/>
    <col min="7168" max="7168" width="10.28515625" style="3" customWidth="1"/>
    <col min="7169" max="7169" width="7.42578125" style="3" customWidth="1"/>
    <col min="7170" max="7170" width="6.28515625" style="3" customWidth="1"/>
    <col min="7171" max="7171" width="6.140625" style="3" customWidth="1"/>
    <col min="7172" max="7172" width="9.140625" style="3"/>
    <col min="7173" max="7173" width="14" style="3" customWidth="1"/>
    <col min="7174" max="7174" width="9.140625" style="3"/>
    <col min="7175" max="7175" width="13.28515625" style="3" customWidth="1"/>
    <col min="7176" max="7176" width="10" style="3" customWidth="1"/>
    <col min="7177" max="7177" width="10.7109375" style="3" customWidth="1"/>
    <col min="7178" max="7180" width="9.140625" style="3"/>
    <col min="7181" max="7181" width="10" style="3" customWidth="1"/>
    <col min="7182" max="7186" width="9.140625" style="3"/>
    <col min="7187" max="7187" width="13" style="3" customWidth="1"/>
    <col min="7188" max="7421" width="9.140625" style="3"/>
    <col min="7422" max="7422" width="4.28515625" style="3" customWidth="1"/>
    <col min="7423" max="7423" width="22.7109375" style="3" customWidth="1"/>
    <col min="7424" max="7424" width="10.28515625" style="3" customWidth="1"/>
    <col min="7425" max="7425" width="7.42578125" style="3" customWidth="1"/>
    <col min="7426" max="7426" width="6.28515625" style="3" customWidth="1"/>
    <col min="7427" max="7427" width="6.140625" style="3" customWidth="1"/>
    <col min="7428" max="7428" width="9.140625" style="3"/>
    <col min="7429" max="7429" width="14" style="3" customWidth="1"/>
    <col min="7430" max="7430" width="9.140625" style="3"/>
    <col min="7431" max="7431" width="13.28515625" style="3" customWidth="1"/>
    <col min="7432" max="7432" width="10" style="3" customWidth="1"/>
    <col min="7433" max="7433" width="10.7109375" style="3" customWidth="1"/>
    <col min="7434" max="7436" width="9.140625" style="3"/>
    <col min="7437" max="7437" width="10" style="3" customWidth="1"/>
    <col min="7438" max="7442" width="9.140625" style="3"/>
    <col min="7443" max="7443" width="13" style="3" customWidth="1"/>
    <col min="7444" max="7677" width="9.140625" style="3"/>
    <col min="7678" max="7678" width="4.28515625" style="3" customWidth="1"/>
    <col min="7679" max="7679" width="22.7109375" style="3" customWidth="1"/>
    <col min="7680" max="7680" width="10.28515625" style="3" customWidth="1"/>
    <col min="7681" max="7681" width="7.42578125" style="3" customWidth="1"/>
    <col min="7682" max="7682" width="6.28515625" style="3" customWidth="1"/>
    <col min="7683" max="7683" width="6.140625" style="3" customWidth="1"/>
    <col min="7684" max="7684" width="9.140625" style="3"/>
    <col min="7685" max="7685" width="14" style="3" customWidth="1"/>
    <col min="7686" max="7686" width="9.140625" style="3"/>
    <col min="7687" max="7687" width="13.28515625" style="3" customWidth="1"/>
    <col min="7688" max="7688" width="10" style="3" customWidth="1"/>
    <col min="7689" max="7689" width="10.7109375" style="3" customWidth="1"/>
    <col min="7690" max="7692" width="9.140625" style="3"/>
    <col min="7693" max="7693" width="10" style="3" customWidth="1"/>
    <col min="7694" max="7698" width="9.140625" style="3"/>
    <col min="7699" max="7699" width="13" style="3" customWidth="1"/>
    <col min="7700" max="7933" width="9.140625" style="3"/>
    <col min="7934" max="7934" width="4.28515625" style="3" customWidth="1"/>
    <col min="7935" max="7935" width="22.7109375" style="3" customWidth="1"/>
    <col min="7936" max="7936" width="10.28515625" style="3" customWidth="1"/>
    <col min="7937" max="7937" width="7.42578125" style="3" customWidth="1"/>
    <col min="7938" max="7938" width="6.28515625" style="3" customWidth="1"/>
    <col min="7939" max="7939" width="6.140625" style="3" customWidth="1"/>
    <col min="7940" max="7940" width="9.140625" style="3"/>
    <col min="7941" max="7941" width="14" style="3" customWidth="1"/>
    <col min="7942" max="7942" width="9.140625" style="3"/>
    <col min="7943" max="7943" width="13.28515625" style="3" customWidth="1"/>
    <col min="7944" max="7944" width="10" style="3" customWidth="1"/>
    <col min="7945" max="7945" width="10.7109375" style="3" customWidth="1"/>
    <col min="7946" max="7948" width="9.140625" style="3"/>
    <col min="7949" max="7949" width="10" style="3" customWidth="1"/>
    <col min="7950" max="7954" width="9.140625" style="3"/>
    <col min="7955" max="7955" width="13" style="3" customWidth="1"/>
    <col min="7956" max="8189" width="9.140625" style="3"/>
    <col min="8190" max="8190" width="4.28515625" style="3" customWidth="1"/>
    <col min="8191" max="8191" width="22.7109375" style="3" customWidth="1"/>
    <col min="8192" max="8192" width="10.28515625" style="3" customWidth="1"/>
    <col min="8193" max="8193" width="7.42578125" style="3" customWidth="1"/>
    <col min="8194" max="8194" width="6.28515625" style="3" customWidth="1"/>
    <col min="8195" max="8195" width="6.140625" style="3" customWidth="1"/>
    <col min="8196" max="8196" width="9.140625" style="3"/>
    <col min="8197" max="8197" width="14" style="3" customWidth="1"/>
    <col min="8198" max="8198" width="9.140625" style="3"/>
    <col min="8199" max="8199" width="13.28515625" style="3" customWidth="1"/>
    <col min="8200" max="8200" width="10" style="3" customWidth="1"/>
    <col min="8201" max="8201" width="10.7109375" style="3" customWidth="1"/>
    <col min="8202" max="8204" width="9.140625" style="3"/>
    <col min="8205" max="8205" width="10" style="3" customWidth="1"/>
    <col min="8206" max="8210" width="9.140625" style="3"/>
    <col min="8211" max="8211" width="13" style="3" customWidth="1"/>
    <col min="8212" max="8445" width="9.140625" style="3"/>
    <col min="8446" max="8446" width="4.28515625" style="3" customWidth="1"/>
    <col min="8447" max="8447" width="22.7109375" style="3" customWidth="1"/>
    <col min="8448" max="8448" width="10.28515625" style="3" customWidth="1"/>
    <col min="8449" max="8449" width="7.42578125" style="3" customWidth="1"/>
    <col min="8450" max="8450" width="6.28515625" style="3" customWidth="1"/>
    <col min="8451" max="8451" width="6.140625" style="3" customWidth="1"/>
    <col min="8452" max="8452" width="9.140625" style="3"/>
    <col min="8453" max="8453" width="14" style="3" customWidth="1"/>
    <col min="8454" max="8454" width="9.140625" style="3"/>
    <col min="8455" max="8455" width="13.28515625" style="3" customWidth="1"/>
    <col min="8456" max="8456" width="10" style="3" customWidth="1"/>
    <col min="8457" max="8457" width="10.7109375" style="3" customWidth="1"/>
    <col min="8458" max="8460" width="9.140625" style="3"/>
    <col min="8461" max="8461" width="10" style="3" customWidth="1"/>
    <col min="8462" max="8466" width="9.140625" style="3"/>
    <col min="8467" max="8467" width="13" style="3" customWidth="1"/>
    <col min="8468" max="8701" width="9.140625" style="3"/>
    <col min="8702" max="8702" width="4.28515625" style="3" customWidth="1"/>
    <col min="8703" max="8703" width="22.7109375" style="3" customWidth="1"/>
    <col min="8704" max="8704" width="10.28515625" style="3" customWidth="1"/>
    <col min="8705" max="8705" width="7.42578125" style="3" customWidth="1"/>
    <col min="8706" max="8706" width="6.28515625" style="3" customWidth="1"/>
    <col min="8707" max="8707" width="6.140625" style="3" customWidth="1"/>
    <col min="8708" max="8708" width="9.140625" style="3"/>
    <col min="8709" max="8709" width="14" style="3" customWidth="1"/>
    <col min="8710" max="8710" width="9.140625" style="3"/>
    <col min="8711" max="8711" width="13.28515625" style="3" customWidth="1"/>
    <col min="8712" max="8712" width="10" style="3" customWidth="1"/>
    <col min="8713" max="8713" width="10.7109375" style="3" customWidth="1"/>
    <col min="8714" max="8716" width="9.140625" style="3"/>
    <col min="8717" max="8717" width="10" style="3" customWidth="1"/>
    <col min="8718" max="8722" width="9.140625" style="3"/>
    <col min="8723" max="8723" width="13" style="3" customWidth="1"/>
    <col min="8724" max="8957" width="9.140625" style="3"/>
    <col min="8958" max="8958" width="4.28515625" style="3" customWidth="1"/>
    <col min="8959" max="8959" width="22.7109375" style="3" customWidth="1"/>
    <col min="8960" max="8960" width="10.28515625" style="3" customWidth="1"/>
    <col min="8961" max="8961" width="7.42578125" style="3" customWidth="1"/>
    <col min="8962" max="8962" width="6.28515625" style="3" customWidth="1"/>
    <col min="8963" max="8963" width="6.140625" style="3" customWidth="1"/>
    <col min="8964" max="8964" width="9.140625" style="3"/>
    <col min="8965" max="8965" width="14" style="3" customWidth="1"/>
    <col min="8966" max="8966" width="9.140625" style="3"/>
    <col min="8967" max="8967" width="13.28515625" style="3" customWidth="1"/>
    <col min="8968" max="8968" width="10" style="3" customWidth="1"/>
    <col min="8969" max="8969" width="10.7109375" style="3" customWidth="1"/>
    <col min="8970" max="8972" width="9.140625" style="3"/>
    <col min="8973" max="8973" width="10" style="3" customWidth="1"/>
    <col min="8974" max="8978" width="9.140625" style="3"/>
    <col min="8979" max="8979" width="13" style="3" customWidth="1"/>
    <col min="8980" max="9213" width="9.140625" style="3"/>
    <col min="9214" max="9214" width="4.28515625" style="3" customWidth="1"/>
    <col min="9215" max="9215" width="22.7109375" style="3" customWidth="1"/>
    <col min="9216" max="9216" width="10.28515625" style="3" customWidth="1"/>
    <col min="9217" max="9217" width="7.42578125" style="3" customWidth="1"/>
    <col min="9218" max="9218" width="6.28515625" style="3" customWidth="1"/>
    <col min="9219" max="9219" width="6.140625" style="3" customWidth="1"/>
    <col min="9220" max="9220" width="9.140625" style="3"/>
    <col min="9221" max="9221" width="14" style="3" customWidth="1"/>
    <col min="9222" max="9222" width="9.140625" style="3"/>
    <col min="9223" max="9223" width="13.28515625" style="3" customWidth="1"/>
    <col min="9224" max="9224" width="10" style="3" customWidth="1"/>
    <col min="9225" max="9225" width="10.7109375" style="3" customWidth="1"/>
    <col min="9226" max="9228" width="9.140625" style="3"/>
    <col min="9229" max="9229" width="10" style="3" customWidth="1"/>
    <col min="9230" max="9234" width="9.140625" style="3"/>
    <col min="9235" max="9235" width="13" style="3" customWidth="1"/>
    <col min="9236" max="9469" width="9.140625" style="3"/>
    <col min="9470" max="9470" width="4.28515625" style="3" customWidth="1"/>
    <col min="9471" max="9471" width="22.7109375" style="3" customWidth="1"/>
    <col min="9472" max="9472" width="10.28515625" style="3" customWidth="1"/>
    <col min="9473" max="9473" width="7.42578125" style="3" customWidth="1"/>
    <col min="9474" max="9474" width="6.28515625" style="3" customWidth="1"/>
    <col min="9475" max="9475" width="6.140625" style="3" customWidth="1"/>
    <col min="9476" max="9476" width="9.140625" style="3"/>
    <col min="9477" max="9477" width="14" style="3" customWidth="1"/>
    <col min="9478" max="9478" width="9.140625" style="3"/>
    <col min="9479" max="9479" width="13.28515625" style="3" customWidth="1"/>
    <col min="9480" max="9480" width="10" style="3" customWidth="1"/>
    <col min="9481" max="9481" width="10.7109375" style="3" customWidth="1"/>
    <col min="9482" max="9484" width="9.140625" style="3"/>
    <col min="9485" max="9485" width="10" style="3" customWidth="1"/>
    <col min="9486" max="9490" width="9.140625" style="3"/>
    <col min="9491" max="9491" width="13" style="3" customWidth="1"/>
    <col min="9492" max="9725" width="9.140625" style="3"/>
    <col min="9726" max="9726" width="4.28515625" style="3" customWidth="1"/>
    <col min="9727" max="9727" width="22.7109375" style="3" customWidth="1"/>
    <col min="9728" max="9728" width="10.28515625" style="3" customWidth="1"/>
    <col min="9729" max="9729" width="7.42578125" style="3" customWidth="1"/>
    <col min="9730" max="9730" width="6.28515625" style="3" customWidth="1"/>
    <col min="9731" max="9731" width="6.140625" style="3" customWidth="1"/>
    <col min="9732" max="9732" width="9.140625" style="3"/>
    <col min="9733" max="9733" width="14" style="3" customWidth="1"/>
    <col min="9734" max="9734" width="9.140625" style="3"/>
    <col min="9735" max="9735" width="13.28515625" style="3" customWidth="1"/>
    <col min="9736" max="9736" width="10" style="3" customWidth="1"/>
    <col min="9737" max="9737" width="10.7109375" style="3" customWidth="1"/>
    <col min="9738" max="9740" width="9.140625" style="3"/>
    <col min="9741" max="9741" width="10" style="3" customWidth="1"/>
    <col min="9742" max="9746" width="9.140625" style="3"/>
    <col min="9747" max="9747" width="13" style="3" customWidth="1"/>
    <col min="9748" max="9981" width="9.140625" style="3"/>
    <col min="9982" max="9982" width="4.28515625" style="3" customWidth="1"/>
    <col min="9983" max="9983" width="22.7109375" style="3" customWidth="1"/>
    <col min="9984" max="9984" width="10.28515625" style="3" customWidth="1"/>
    <col min="9985" max="9985" width="7.42578125" style="3" customWidth="1"/>
    <col min="9986" max="9986" width="6.28515625" style="3" customWidth="1"/>
    <col min="9987" max="9987" width="6.140625" style="3" customWidth="1"/>
    <col min="9988" max="9988" width="9.140625" style="3"/>
    <col min="9989" max="9989" width="14" style="3" customWidth="1"/>
    <col min="9990" max="9990" width="9.140625" style="3"/>
    <col min="9991" max="9991" width="13.28515625" style="3" customWidth="1"/>
    <col min="9992" max="9992" width="10" style="3" customWidth="1"/>
    <col min="9993" max="9993" width="10.7109375" style="3" customWidth="1"/>
    <col min="9994" max="9996" width="9.140625" style="3"/>
    <col min="9997" max="9997" width="10" style="3" customWidth="1"/>
    <col min="9998" max="10002" width="9.140625" style="3"/>
    <col min="10003" max="10003" width="13" style="3" customWidth="1"/>
    <col min="10004" max="10237" width="9.140625" style="3"/>
    <col min="10238" max="10238" width="4.28515625" style="3" customWidth="1"/>
    <col min="10239" max="10239" width="22.7109375" style="3" customWidth="1"/>
    <col min="10240" max="10240" width="10.28515625" style="3" customWidth="1"/>
    <col min="10241" max="10241" width="7.42578125" style="3" customWidth="1"/>
    <col min="10242" max="10242" width="6.28515625" style="3" customWidth="1"/>
    <col min="10243" max="10243" width="6.140625" style="3" customWidth="1"/>
    <col min="10244" max="10244" width="9.140625" style="3"/>
    <col min="10245" max="10245" width="14" style="3" customWidth="1"/>
    <col min="10246" max="10246" width="9.140625" style="3"/>
    <col min="10247" max="10247" width="13.28515625" style="3" customWidth="1"/>
    <col min="10248" max="10248" width="10" style="3" customWidth="1"/>
    <col min="10249" max="10249" width="10.7109375" style="3" customWidth="1"/>
    <col min="10250" max="10252" width="9.140625" style="3"/>
    <col min="10253" max="10253" width="10" style="3" customWidth="1"/>
    <col min="10254" max="10258" width="9.140625" style="3"/>
    <col min="10259" max="10259" width="13" style="3" customWidth="1"/>
    <col min="10260" max="10493" width="9.140625" style="3"/>
    <col min="10494" max="10494" width="4.28515625" style="3" customWidth="1"/>
    <col min="10495" max="10495" width="22.7109375" style="3" customWidth="1"/>
    <col min="10496" max="10496" width="10.28515625" style="3" customWidth="1"/>
    <col min="10497" max="10497" width="7.42578125" style="3" customWidth="1"/>
    <col min="10498" max="10498" width="6.28515625" style="3" customWidth="1"/>
    <col min="10499" max="10499" width="6.140625" style="3" customWidth="1"/>
    <col min="10500" max="10500" width="9.140625" style="3"/>
    <col min="10501" max="10501" width="14" style="3" customWidth="1"/>
    <col min="10502" max="10502" width="9.140625" style="3"/>
    <col min="10503" max="10503" width="13.28515625" style="3" customWidth="1"/>
    <col min="10504" max="10504" width="10" style="3" customWidth="1"/>
    <col min="10505" max="10505" width="10.7109375" style="3" customWidth="1"/>
    <col min="10506" max="10508" width="9.140625" style="3"/>
    <col min="10509" max="10509" width="10" style="3" customWidth="1"/>
    <col min="10510" max="10514" width="9.140625" style="3"/>
    <col min="10515" max="10515" width="13" style="3" customWidth="1"/>
    <col min="10516" max="10749" width="9.140625" style="3"/>
    <col min="10750" max="10750" width="4.28515625" style="3" customWidth="1"/>
    <col min="10751" max="10751" width="22.7109375" style="3" customWidth="1"/>
    <col min="10752" max="10752" width="10.28515625" style="3" customWidth="1"/>
    <col min="10753" max="10753" width="7.42578125" style="3" customWidth="1"/>
    <col min="10754" max="10754" width="6.28515625" style="3" customWidth="1"/>
    <col min="10755" max="10755" width="6.140625" style="3" customWidth="1"/>
    <col min="10756" max="10756" width="9.140625" style="3"/>
    <col min="10757" max="10757" width="14" style="3" customWidth="1"/>
    <col min="10758" max="10758" width="9.140625" style="3"/>
    <col min="10759" max="10759" width="13.28515625" style="3" customWidth="1"/>
    <col min="10760" max="10760" width="10" style="3" customWidth="1"/>
    <col min="10761" max="10761" width="10.7109375" style="3" customWidth="1"/>
    <col min="10762" max="10764" width="9.140625" style="3"/>
    <col min="10765" max="10765" width="10" style="3" customWidth="1"/>
    <col min="10766" max="10770" width="9.140625" style="3"/>
    <col min="10771" max="10771" width="13" style="3" customWidth="1"/>
    <col min="10772" max="11005" width="9.140625" style="3"/>
    <col min="11006" max="11006" width="4.28515625" style="3" customWidth="1"/>
    <col min="11007" max="11007" width="22.7109375" style="3" customWidth="1"/>
    <col min="11008" max="11008" width="10.28515625" style="3" customWidth="1"/>
    <col min="11009" max="11009" width="7.42578125" style="3" customWidth="1"/>
    <col min="11010" max="11010" width="6.28515625" style="3" customWidth="1"/>
    <col min="11011" max="11011" width="6.140625" style="3" customWidth="1"/>
    <col min="11012" max="11012" width="9.140625" style="3"/>
    <col min="11013" max="11013" width="14" style="3" customWidth="1"/>
    <col min="11014" max="11014" width="9.140625" style="3"/>
    <col min="11015" max="11015" width="13.28515625" style="3" customWidth="1"/>
    <col min="11016" max="11016" width="10" style="3" customWidth="1"/>
    <col min="11017" max="11017" width="10.7109375" style="3" customWidth="1"/>
    <col min="11018" max="11020" width="9.140625" style="3"/>
    <col min="11021" max="11021" width="10" style="3" customWidth="1"/>
    <col min="11022" max="11026" width="9.140625" style="3"/>
    <col min="11027" max="11027" width="13" style="3" customWidth="1"/>
    <col min="11028" max="11261" width="9.140625" style="3"/>
    <col min="11262" max="11262" width="4.28515625" style="3" customWidth="1"/>
    <col min="11263" max="11263" width="22.7109375" style="3" customWidth="1"/>
    <col min="11264" max="11264" width="10.28515625" style="3" customWidth="1"/>
    <col min="11265" max="11265" width="7.42578125" style="3" customWidth="1"/>
    <col min="11266" max="11266" width="6.28515625" style="3" customWidth="1"/>
    <col min="11267" max="11267" width="6.140625" style="3" customWidth="1"/>
    <col min="11268" max="11268" width="9.140625" style="3"/>
    <col min="11269" max="11269" width="14" style="3" customWidth="1"/>
    <col min="11270" max="11270" width="9.140625" style="3"/>
    <col min="11271" max="11271" width="13.28515625" style="3" customWidth="1"/>
    <col min="11272" max="11272" width="10" style="3" customWidth="1"/>
    <col min="11273" max="11273" width="10.7109375" style="3" customWidth="1"/>
    <col min="11274" max="11276" width="9.140625" style="3"/>
    <col min="11277" max="11277" width="10" style="3" customWidth="1"/>
    <col min="11278" max="11282" width="9.140625" style="3"/>
    <col min="11283" max="11283" width="13" style="3" customWidth="1"/>
    <col min="11284" max="11517" width="9.140625" style="3"/>
    <col min="11518" max="11518" width="4.28515625" style="3" customWidth="1"/>
    <col min="11519" max="11519" width="22.7109375" style="3" customWidth="1"/>
    <col min="11520" max="11520" width="10.28515625" style="3" customWidth="1"/>
    <col min="11521" max="11521" width="7.42578125" style="3" customWidth="1"/>
    <col min="11522" max="11522" width="6.28515625" style="3" customWidth="1"/>
    <col min="11523" max="11523" width="6.140625" style="3" customWidth="1"/>
    <col min="11524" max="11524" width="9.140625" style="3"/>
    <col min="11525" max="11525" width="14" style="3" customWidth="1"/>
    <col min="11526" max="11526" width="9.140625" style="3"/>
    <col min="11527" max="11527" width="13.28515625" style="3" customWidth="1"/>
    <col min="11528" max="11528" width="10" style="3" customWidth="1"/>
    <col min="11529" max="11529" width="10.7109375" style="3" customWidth="1"/>
    <col min="11530" max="11532" width="9.140625" style="3"/>
    <col min="11533" max="11533" width="10" style="3" customWidth="1"/>
    <col min="11534" max="11538" width="9.140625" style="3"/>
    <col min="11539" max="11539" width="13" style="3" customWidth="1"/>
    <col min="11540" max="11773" width="9.140625" style="3"/>
    <col min="11774" max="11774" width="4.28515625" style="3" customWidth="1"/>
    <col min="11775" max="11775" width="22.7109375" style="3" customWidth="1"/>
    <col min="11776" max="11776" width="10.28515625" style="3" customWidth="1"/>
    <col min="11777" max="11777" width="7.42578125" style="3" customWidth="1"/>
    <col min="11778" max="11778" width="6.28515625" style="3" customWidth="1"/>
    <col min="11779" max="11779" width="6.140625" style="3" customWidth="1"/>
    <col min="11780" max="11780" width="9.140625" style="3"/>
    <col min="11781" max="11781" width="14" style="3" customWidth="1"/>
    <col min="11782" max="11782" width="9.140625" style="3"/>
    <col min="11783" max="11783" width="13.28515625" style="3" customWidth="1"/>
    <col min="11784" max="11784" width="10" style="3" customWidth="1"/>
    <col min="11785" max="11785" width="10.7109375" style="3" customWidth="1"/>
    <col min="11786" max="11788" width="9.140625" style="3"/>
    <col min="11789" max="11789" width="10" style="3" customWidth="1"/>
    <col min="11790" max="11794" width="9.140625" style="3"/>
    <col min="11795" max="11795" width="13" style="3" customWidth="1"/>
    <col min="11796" max="12029" width="9.140625" style="3"/>
    <col min="12030" max="12030" width="4.28515625" style="3" customWidth="1"/>
    <col min="12031" max="12031" width="22.7109375" style="3" customWidth="1"/>
    <col min="12032" max="12032" width="10.28515625" style="3" customWidth="1"/>
    <col min="12033" max="12033" width="7.42578125" style="3" customWidth="1"/>
    <col min="12034" max="12034" width="6.28515625" style="3" customWidth="1"/>
    <col min="12035" max="12035" width="6.140625" style="3" customWidth="1"/>
    <col min="12036" max="12036" width="9.140625" style="3"/>
    <col min="12037" max="12037" width="14" style="3" customWidth="1"/>
    <col min="12038" max="12038" width="9.140625" style="3"/>
    <col min="12039" max="12039" width="13.28515625" style="3" customWidth="1"/>
    <col min="12040" max="12040" width="10" style="3" customWidth="1"/>
    <col min="12041" max="12041" width="10.7109375" style="3" customWidth="1"/>
    <col min="12042" max="12044" width="9.140625" style="3"/>
    <col min="12045" max="12045" width="10" style="3" customWidth="1"/>
    <col min="12046" max="12050" width="9.140625" style="3"/>
    <col min="12051" max="12051" width="13" style="3" customWidth="1"/>
    <col min="12052" max="12285" width="9.140625" style="3"/>
    <col min="12286" max="12286" width="4.28515625" style="3" customWidth="1"/>
    <col min="12287" max="12287" width="22.7109375" style="3" customWidth="1"/>
    <col min="12288" max="12288" width="10.28515625" style="3" customWidth="1"/>
    <col min="12289" max="12289" width="7.42578125" style="3" customWidth="1"/>
    <col min="12290" max="12290" width="6.28515625" style="3" customWidth="1"/>
    <col min="12291" max="12291" width="6.140625" style="3" customWidth="1"/>
    <col min="12292" max="12292" width="9.140625" style="3"/>
    <col min="12293" max="12293" width="14" style="3" customWidth="1"/>
    <col min="12294" max="12294" width="9.140625" style="3"/>
    <col min="12295" max="12295" width="13.28515625" style="3" customWidth="1"/>
    <col min="12296" max="12296" width="10" style="3" customWidth="1"/>
    <col min="12297" max="12297" width="10.7109375" style="3" customWidth="1"/>
    <col min="12298" max="12300" width="9.140625" style="3"/>
    <col min="12301" max="12301" width="10" style="3" customWidth="1"/>
    <col min="12302" max="12306" width="9.140625" style="3"/>
    <col min="12307" max="12307" width="13" style="3" customWidth="1"/>
    <col min="12308" max="12541" width="9.140625" style="3"/>
    <col min="12542" max="12542" width="4.28515625" style="3" customWidth="1"/>
    <col min="12543" max="12543" width="22.7109375" style="3" customWidth="1"/>
    <col min="12544" max="12544" width="10.28515625" style="3" customWidth="1"/>
    <col min="12545" max="12545" width="7.42578125" style="3" customWidth="1"/>
    <col min="12546" max="12546" width="6.28515625" style="3" customWidth="1"/>
    <col min="12547" max="12547" width="6.140625" style="3" customWidth="1"/>
    <col min="12548" max="12548" width="9.140625" style="3"/>
    <col min="12549" max="12549" width="14" style="3" customWidth="1"/>
    <col min="12550" max="12550" width="9.140625" style="3"/>
    <col min="12551" max="12551" width="13.28515625" style="3" customWidth="1"/>
    <col min="12552" max="12552" width="10" style="3" customWidth="1"/>
    <col min="12553" max="12553" width="10.7109375" style="3" customWidth="1"/>
    <col min="12554" max="12556" width="9.140625" style="3"/>
    <col min="12557" max="12557" width="10" style="3" customWidth="1"/>
    <col min="12558" max="12562" width="9.140625" style="3"/>
    <col min="12563" max="12563" width="13" style="3" customWidth="1"/>
    <col min="12564" max="12797" width="9.140625" style="3"/>
    <col min="12798" max="12798" width="4.28515625" style="3" customWidth="1"/>
    <col min="12799" max="12799" width="22.7109375" style="3" customWidth="1"/>
    <col min="12800" max="12800" width="10.28515625" style="3" customWidth="1"/>
    <col min="12801" max="12801" width="7.42578125" style="3" customWidth="1"/>
    <col min="12802" max="12802" width="6.28515625" style="3" customWidth="1"/>
    <col min="12803" max="12803" width="6.140625" style="3" customWidth="1"/>
    <col min="12804" max="12804" width="9.140625" style="3"/>
    <col min="12805" max="12805" width="14" style="3" customWidth="1"/>
    <col min="12806" max="12806" width="9.140625" style="3"/>
    <col min="12807" max="12807" width="13.28515625" style="3" customWidth="1"/>
    <col min="12808" max="12808" width="10" style="3" customWidth="1"/>
    <col min="12809" max="12809" width="10.7109375" style="3" customWidth="1"/>
    <col min="12810" max="12812" width="9.140625" style="3"/>
    <col min="12813" max="12813" width="10" style="3" customWidth="1"/>
    <col min="12814" max="12818" width="9.140625" style="3"/>
    <col min="12819" max="12819" width="13" style="3" customWidth="1"/>
    <col min="12820" max="13053" width="9.140625" style="3"/>
    <col min="13054" max="13054" width="4.28515625" style="3" customWidth="1"/>
    <col min="13055" max="13055" width="22.7109375" style="3" customWidth="1"/>
    <col min="13056" max="13056" width="10.28515625" style="3" customWidth="1"/>
    <col min="13057" max="13057" width="7.42578125" style="3" customWidth="1"/>
    <col min="13058" max="13058" width="6.28515625" style="3" customWidth="1"/>
    <col min="13059" max="13059" width="6.140625" style="3" customWidth="1"/>
    <col min="13060" max="13060" width="9.140625" style="3"/>
    <col min="13061" max="13061" width="14" style="3" customWidth="1"/>
    <col min="13062" max="13062" width="9.140625" style="3"/>
    <col min="13063" max="13063" width="13.28515625" style="3" customWidth="1"/>
    <col min="13064" max="13064" width="10" style="3" customWidth="1"/>
    <col min="13065" max="13065" width="10.7109375" style="3" customWidth="1"/>
    <col min="13066" max="13068" width="9.140625" style="3"/>
    <col min="13069" max="13069" width="10" style="3" customWidth="1"/>
    <col min="13070" max="13074" width="9.140625" style="3"/>
    <col min="13075" max="13075" width="13" style="3" customWidth="1"/>
    <col min="13076" max="13309" width="9.140625" style="3"/>
    <col min="13310" max="13310" width="4.28515625" style="3" customWidth="1"/>
    <col min="13311" max="13311" width="22.7109375" style="3" customWidth="1"/>
    <col min="13312" max="13312" width="10.28515625" style="3" customWidth="1"/>
    <col min="13313" max="13313" width="7.42578125" style="3" customWidth="1"/>
    <col min="13314" max="13314" width="6.28515625" style="3" customWidth="1"/>
    <col min="13315" max="13315" width="6.140625" style="3" customWidth="1"/>
    <col min="13316" max="13316" width="9.140625" style="3"/>
    <col min="13317" max="13317" width="14" style="3" customWidth="1"/>
    <col min="13318" max="13318" width="9.140625" style="3"/>
    <col min="13319" max="13319" width="13.28515625" style="3" customWidth="1"/>
    <col min="13320" max="13320" width="10" style="3" customWidth="1"/>
    <col min="13321" max="13321" width="10.7109375" style="3" customWidth="1"/>
    <col min="13322" max="13324" width="9.140625" style="3"/>
    <col min="13325" max="13325" width="10" style="3" customWidth="1"/>
    <col min="13326" max="13330" width="9.140625" style="3"/>
    <col min="13331" max="13331" width="13" style="3" customWidth="1"/>
    <col min="13332" max="13565" width="9.140625" style="3"/>
    <col min="13566" max="13566" width="4.28515625" style="3" customWidth="1"/>
    <col min="13567" max="13567" width="22.7109375" style="3" customWidth="1"/>
    <col min="13568" max="13568" width="10.28515625" style="3" customWidth="1"/>
    <col min="13569" max="13569" width="7.42578125" style="3" customWidth="1"/>
    <col min="13570" max="13570" width="6.28515625" style="3" customWidth="1"/>
    <col min="13571" max="13571" width="6.140625" style="3" customWidth="1"/>
    <col min="13572" max="13572" width="9.140625" style="3"/>
    <col min="13573" max="13573" width="14" style="3" customWidth="1"/>
    <col min="13574" max="13574" width="9.140625" style="3"/>
    <col min="13575" max="13575" width="13.28515625" style="3" customWidth="1"/>
    <col min="13576" max="13576" width="10" style="3" customWidth="1"/>
    <col min="13577" max="13577" width="10.7109375" style="3" customWidth="1"/>
    <col min="13578" max="13580" width="9.140625" style="3"/>
    <col min="13581" max="13581" width="10" style="3" customWidth="1"/>
    <col min="13582" max="13586" width="9.140625" style="3"/>
    <col min="13587" max="13587" width="13" style="3" customWidth="1"/>
    <col min="13588" max="13821" width="9.140625" style="3"/>
    <col min="13822" max="13822" width="4.28515625" style="3" customWidth="1"/>
    <col min="13823" max="13823" width="22.7109375" style="3" customWidth="1"/>
    <col min="13824" max="13824" width="10.28515625" style="3" customWidth="1"/>
    <col min="13825" max="13825" width="7.42578125" style="3" customWidth="1"/>
    <col min="13826" max="13826" width="6.28515625" style="3" customWidth="1"/>
    <col min="13827" max="13827" width="6.140625" style="3" customWidth="1"/>
    <col min="13828" max="13828" width="9.140625" style="3"/>
    <col min="13829" max="13829" width="14" style="3" customWidth="1"/>
    <col min="13830" max="13830" width="9.140625" style="3"/>
    <col min="13831" max="13831" width="13.28515625" style="3" customWidth="1"/>
    <col min="13832" max="13832" width="10" style="3" customWidth="1"/>
    <col min="13833" max="13833" width="10.7109375" style="3" customWidth="1"/>
    <col min="13834" max="13836" width="9.140625" style="3"/>
    <col min="13837" max="13837" width="10" style="3" customWidth="1"/>
    <col min="13838" max="13842" width="9.140625" style="3"/>
    <col min="13843" max="13843" width="13" style="3" customWidth="1"/>
    <col min="13844" max="14077" width="9.140625" style="3"/>
    <col min="14078" max="14078" width="4.28515625" style="3" customWidth="1"/>
    <col min="14079" max="14079" width="22.7109375" style="3" customWidth="1"/>
    <col min="14080" max="14080" width="10.28515625" style="3" customWidth="1"/>
    <col min="14081" max="14081" width="7.42578125" style="3" customWidth="1"/>
    <col min="14082" max="14082" width="6.28515625" style="3" customWidth="1"/>
    <col min="14083" max="14083" width="6.140625" style="3" customWidth="1"/>
    <col min="14084" max="14084" width="9.140625" style="3"/>
    <col min="14085" max="14085" width="14" style="3" customWidth="1"/>
    <col min="14086" max="14086" width="9.140625" style="3"/>
    <col min="14087" max="14087" width="13.28515625" style="3" customWidth="1"/>
    <col min="14088" max="14088" width="10" style="3" customWidth="1"/>
    <col min="14089" max="14089" width="10.7109375" style="3" customWidth="1"/>
    <col min="14090" max="14092" width="9.140625" style="3"/>
    <col min="14093" max="14093" width="10" style="3" customWidth="1"/>
    <col min="14094" max="14098" width="9.140625" style="3"/>
    <col min="14099" max="14099" width="13" style="3" customWidth="1"/>
    <col min="14100" max="14333" width="9.140625" style="3"/>
    <col min="14334" max="14334" width="4.28515625" style="3" customWidth="1"/>
    <col min="14335" max="14335" width="22.7109375" style="3" customWidth="1"/>
    <col min="14336" max="14336" width="10.28515625" style="3" customWidth="1"/>
    <col min="14337" max="14337" width="7.42578125" style="3" customWidth="1"/>
    <col min="14338" max="14338" width="6.28515625" style="3" customWidth="1"/>
    <col min="14339" max="14339" width="6.140625" style="3" customWidth="1"/>
    <col min="14340" max="14340" width="9.140625" style="3"/>
    <col min="14341" max="14341" width="14" style="3" customWidth="1"/>
    <col min="14342" max="14342" width="9.140625" style="3"/>
    <col min="14343" max="14343" width="13.28515625" style="3" customWidth="1"/>
    <col min="14344" max="14344" width="10" style="3" customWidth="1"/>
    <col min="14345" max="14345" width="10.7109375" style="3" customWidth="1"/>
    <col min="14346" max="14348" width="9.140625" style="3"/>
    <col min="14349" max="14349" width="10" style="3" customWidth="1"/>
    <col min="14350" max="14354" width="9.140625" style="3"/>
    <col min="14355" max="14355" width="13" style="3" customWidth="1"/>
    <col min="14356" max="14589" width="9.140625" style="3"/>
    <col min="14590" max="14590" width="4.28515625" style="3" customWidth="1"/>
    <col min="14591" max="14591" width="22.7109375" style="3" customWidth="1"/>
    <col min="14592" max="14592" width="10.28515625" style="3" customWidth="1"/>
    <col min="14593" max="14593" width="7.42578125" style="3" customWidth="1"/>
    <col min="14594" max="14594" width="6.28515625" style="3" customWidth="1"/>
    <col min="14595" max="14595" width="6.140625" style="3" customWidth="1"/>
    <col min="14596" max="14596" width="9.140625" style="3"/>
    <col min="14597" max="14597" width="14" style="3" customWidth="1"/>
    <col min="14598" max="14598" width="9.140625" style="3"/>
    <col min="14599" max="14599" width="13.28515625" style="3" customWidth="1"/>
    <col min="14600" max="14600" width="10" style="3" customWidth="1"/>
    <col min="14601" max="14601" width="10.7109375" style="3" customWidth="1"/>
    <col min="14602" max="14604" width="9.140625" style="3"/>
    <col min="14605" max="14605" width="10" style="3" customWidth="1"/>
    <col min="14606" max="14610" width="9.140625" style="3"/>
    <col min="14611" max="14611" width="13" style="3" customWidth="1"/>
    <col min="14612" max="14845" width="9.140625" style="3"/>
    <col min="14846" max="14846" width="4.28515625" style="3" customWidth="1"/>
    <col min="14847" max="14847" width="22.7109375" style="3" customWidth="1"/>
    <col min="14848" max="14848" width="10.28515625" style="3" customWidth="1"/>
    <col min="14849" max="14849" width="7.42578125" style="3" customWidth="1"/>
    <col min="14850" max="14850" width="6.28515625" style="3" customWidth="1"/>
    <col min="14851" max="14851" width="6.140625" style="3" customWidth="1"/>
    <col min="14852" max="14852" width="9.140625" style="3"/>
    <col min="14853" max="14853" width="14" style="3" customWidth="1"/>
    <col min="14854" max="14854" width="9.140625" style="3"/>
    <col min="14855" max="14855" width="13.28515625" style="3" customWidth="1"/>
    <col min="14856" max="14856" width="10" style="3" customWidth="1"/>
    <col min="14857" max="14857" width="10.7109375" style="3" customWidth="1"/>
    <col min="14858" max="14860" width="9.140625" style="3"/>
    <col min="14861" max="14861" width="10" style="3" customWidth="1"/>
    <col min="14862" max="14866" width="9.140625" style="3"/>
    <col min="14867" max="14867" width="13" style="3" customWidth="1"/>
    <col min="14868" max="15101" width="9.140625" style="3"/>
    <col min="15102" max="15102" width="4.28515625" style="3" customWidth="1"/>
    <col min="15103" max="15103" width="22.7109375" style="3" customWidth="1"/>
    <col min="15104" max="15104" width="10.28515625" style="3" customWidth="1"/>
    <col min="15105" max="15105" width="7.42578125" style="3" customWidth="1"/>
    <col min="15106" max="15106" width="6.28515625" style="3" customWidth="1"/>
    <col min="15107" max="15107" width="6.140625" style="3" customWidth="1"/>
    <col min="15108" max="15108" width="9.140625" style="3"/>
    <col min="15109" max="15109" width="14" style="3" customWidth="1"/>
    <col min="15110" max="15110" width="9.140625" style="3"/>
    <col min="15111" max="15111" width="13.28515625" style="3" customWidth="1"/>
    <col min="15112" max="15112" width="10" style="3" customWidth="1"/>
    <col min="15113" max="15113" width="10.7109375" style="3" customWidth="1"/>
    <col min="15114" max="15116" width="9.140625" style="3"/>
    <col min="15117" max="15117" width="10" style="3" customWidth="1"/>
    <col min="15118" max="15122" width="9.140625" style="3"/>
    <col min="15123" max="15123" width="13" style="3" customWidth="1"/>
    <col min="15124" max="15357" width="9.140625" style="3"/>
    <col min="15358" max="15358" width="4.28515625" style="3" customWidth="1"/>
    <col min="15359" max="15359" width="22.7109375" style="3" customWidth="1"/>
    <col min="15360" max="15360" width="10.28515625" style="3" customWidth="1"/>
    <col min="15361" max="15361" width="7.42578125" style="3" customWidth="1"/>
    <col min="15362" max="15362" width="6.28515625" style="3" customWidth="1"/>
    <col min="15363" max="15363" width="6.140625" style="3" customWidth="1"/>
    <col min="15364" max="15364" width="9.140625" style="3"/>
    <col min="15365" max="15365" width="14" style="3" customWidth="1"/>
    <col min="15366" max="15366" width="9.140625" style="3"/>
    <col min="15367" max="15367" width="13.28515625" style="3" customWidth="1"/>
    <col min="15368" max="15368" width="10" style="3" customWidth="1"/>
    <col min="15369" max="15369" width="10.7109375" style="3" customWidth="1"/>
    <col min="15370" max="15372" width="9.140625" style="3"/>
    <col min="15373" max="15373" width="10" style="3" customWidth="1"/>
    <col min="15374" max="15378" width="9.140625" style="3"/>
    <col min="15379" max="15379" width="13" style="3" customWidth="1"/>
    <col min="15380" max="15613" width="9.140625" style="3"/>
    <col min="15614" max="15614" width="4.28515625" style="3" customWidth="1"/>
    <col min="15615" max="15615" width="22.7109375" style="3" customWidth="1"/>
    <col min="15616" max="15616" width="10.28515625" style="3" customWidth="1"/>
    <col min="15617" max="15617" width="7.42578125" style="3" customWidth="1"/>
    <col min="15618" max="15618" width="6.28515625" style="3" customWidth="1"/>
    <col min="15619" max="15619" width="6.140625" style="3" customWidth="1"/>
    <col min="15620" max="15620" width="9.140625" style="3"/>
    <col min="15621" max="15621" width="14" style="3" customWidth="1"/>
    <col min="15622" max="15622" width="9.140625" style="3"/>
    <col min="15623" max="15623" width="13.28515625" style="3" customWidth="1"/>
    <col min="15624" max="15624" width="10" style="3" customWidth="1"/>
    <col min="15625" max="15625" width="10.7109375" style="3" customWidth="1"/>
    <col min="15626" max="15628" width="9.140625" style="3"/>
    <col min="15629" max="15629" width="10" style="3" customWidth="1"/>
    <col min="15630" max="15634" width="9.140625" style="3"/>
    <col min="15635" max="15635" width="13" style="3" customWidth="1"/>
    <col min="15636" max="15869" width="9.140625" style="3"/>
    <col min="15870" max="15870" width="4.28515625" style="3" customWidth="1"/>
    <col min="15871" max="15871" width="22.7109375" style="3" customWidth="1"/>
    <col min="15872" max="15872" width="10.28515625" style="3" customWidth="1"/>
    <col min="15873" max="15873" width="7.42578125" style="3" customWidth="1"/>
    <col min="15874" max="15874" width="6.28515625" style="3" customWidth="1"/>
    <col min="15875" max="15875" width="6.140625" style="3" customWidth="1"/>
    <col min="15876" max="15876" width="9.140625" style="3"/>
    <col min="15877" max="15877" width="14" style="3" customWidth="1"/>
    <col min="15878" max="15878" width="9.140625" style="3"/>
    <col min="15879" max="15879" width="13.28515625" style="3" customWidth="1"/>
    <col min="15880" max="15880" width="10" style="3" customWidth="1"/>
    <col min="15881" max="15881" width="10.7109375" style="3" customWidth="1"/>
    <col min="15882" max="15884" width="9.140625" style="3"/>
    <col min="15885" max="15885" width="10" style="3" customWidth="1"/>
    <col min="15886" max="15890" width="9.140625" style="3"/>
    <col min="15891" max="15891" width="13" style="3" customWidth="1"/>
    <col min="15892" max="16125" width="9.140625" style="3"/>
    <col min="16126" max="16126" width="4.28515625" style="3" customWidth="1"/>
    <col min="16127" max="16127" width="22.7109375" style="3" customWidth="1"/>
    <col min="16128" max="16128" width="10.28515625" style="3" customWidth="1"/>
    <col min="16129" max="16129" width="7.42578125" style="3" customWidth="1"/>
    <col min="16130" max="16130" width="6.28515625" style="3" customWidth="1"/>
    <col min="16131" max="16131" width="6.140625" style="3" customWidth="1"/>
    <col min="16132" max="16132" width="9.140625" style="3"/>
    <col min="16133" max="16133" width="14" style="3" customWidth="1"/>
    <col min="16134" max="16134" width="9.140625" style="3"/>
    <col min="16135" max="16135" width="13.28515625" style="3" customWidth="1"/>
    <col min="16136" max="16136" width="10" style="3" customWidth="1"/>
    <col min="16137" max="16137" width="10.7109375" style="3" customWidth="1"/>
    <col min="16138" max="16140" width="9.140625" style="3"/>
    <col min="16141" max="16141" width="10" style="3" customWidth="1"/>
    <col min="16142" max="16146" width="9.140625" style="3"/>
    <col min="16147" max="16147" width="13" style="3" customWidth="1"/>
    <col min="16148" max="16384" width="9.140625" style="3"/>
  </cols>
  <sheetData>
    <row r="2" spans="1:20" s="4" customFormat="1" ht="13.5" customHeight="1">
      <c r="A2" s="4" t="s">
        <v>149</v>
      </c>
    </row>
    <row r="3" spans="1:20" s="4" customFormat="1" ht="15.75">
      <c r="A3" s="4" t="s">
        <v>151</v>
      </c>
    </row>
    <row r="5" spans="1:20" ht="23.25">
      <c r="A5" s="289" t="s">
        <v>152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</row>
    <row r="6" spans="1:20" ht="23.25">
      <c r="A6" s="289" t="s">
        <v>153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</row>
    <row r="7" spans="1:20" ht="23.25">
      <c r="A7" s="290" t="s">
        <v>216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</row>
    <row r="8" spans="1:20" ht="23.25">
      <c r="A8" s="138"/>
      <c r="B8" s="138"/>
      <c r="C8" s="138"/>
      <c r="D8" s="138"/>
      <c r="E8" s="138"/>
      <c r="F8" s="138"/>
      <c r="G8" s="141" t="s">
        <v>154</v>
      </c>
      <c r="H8" s="140"/>
      <c r="I8" s="142">
        <v>1490000</v>
      </c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40"/>
    </row>
    <row r="9" spans="1:20" s="200" customFormat="1" ht="25.5" customHeight="1">
      <c r="A9" s="291" t="s">
        <v>0</v>
      </c>
      <c r="B9" s="291" t="s">
        <v>155</v>
      </c>
      <c r="C9" s="292" t="s">
        <v>211</v>
      </c>
      <c r="D9" s="292" t="s">
        <v>157</v>
      </c>
      <c r="E9" s="292" t="s">
        <v>159</v>
      </c>
      <c r="F9" s="292" t="s">
        <v>164</v>
      </c>
      <c r="G9" s="292" t="s">
        <v>165</v>
      </c>
      <c r="H9" s="295" t="s">
        <v>166</v>
      </c>
      <c r="I9" s="297" t="s">
        <v>167</v>
      </c>
      <c r="J9" s="298"/>
      <c r="K9" s="297" t="s">
        <v>168</v>
      </c>
      <c r="L9" s="298"/>
      <c r="M9" s="297" t="s">
        <v>169</v>
      </c>
      <c r="N9" s="298"/>
      <c r="O9" s="297" t="s">
        <v>170</v>
      </c>
      <c r="P9" s="299"/>
      <c r="Q9" s="299"/>
      <c r="R9" s="298"/>
      <c r="S9" s="292" t="s">
        <v>171</v>
      </c>
      <c r="T9" s="293" t="s">
        <v>41</v>
      </c>
    </row>
    <row r="10" spans="1:20" s="200" customFormat="1" ht="57" customHeight="1">
      <c r="A10" s="291"/>
      <c r="B10" s="291"/>
      <c r="C10" s="291"/>
      <c r="D10" s="292"/>
      <c r="E10" s="292"/>
      <c r="F10" s="291"/>
      <c r="G10" s="291"/>
      <c r="H10" s="296"/>
      <c r="I10" s="201" t="s">
        <v>172</v>
      </c>
      <c r="J10" s="201" t="s">
        <v>173</v>
      </c>
      <c r="K10" s="201" t="s">
        <v>172</v>
      </c>
      <c r="L10" s="201" t="s">
        <v>173</v>
      </c>
      <c r="M10" s="201" t="s">
        <v>172</v>
      </c>
      <c r="N10" s="201" t="s">
        <v>173</v>
      </c>
      <c r="O10" s="201" t="s">
        <v>174</v>
      </c>
      <c r="P10" s="201" t="s">
        <v>175</v>
      </c>
      <c r="Q10" s="201" t="s">
        <v>176</v>
      </c>
      <c r="R10" s="202" t="s">
        <v>177</v>
      </c>
      <c r="S10" s="292"/>
      <c r="T10" s="294"/>
    </row>
    <row r="11" spans="1:20" s="207" customFormat="1" ht="42" customHeight="1">
      <c r="A11" s="203">
        <v>1</v>
      </c>
      <c r="B11" s="203" t="s">
        <v>190</v>
      </c>
      <c r="C11" s="203" t="s">
        <v>210</v>
      </c>
      <c r="D11" s="203">
        <v>2.04</v>
      </c>
      <c r="E11" s="203">
        <v>0.2</v>
      </c>
      <c r="F11" s="204">
        <f>SUM(D11:E11)</f>
        <v>2.2400000000000002</v>
      </c>
      <c r="G11" s="205">
        <f>F11*1490000</f>
        <v>3337600.0000000005</v>
      </c>
      <c r="H11" s="203">
        <v>30</v>
      </c>
      <c r="I11" s="205">
        <f>(D11)*1490000*17.5%</f>
        <v>531930</v>
      </c>
      <c r="J11" s="205">
        <f>(D11)*1490000*8%</f>
        <v>243168</v>
      </c>
      <c r="K11" s="205">
        <f>(D11)*1490000*3%</f>
        <v>91188</v>
      </c>
      <c r="L11" s="205">
        <f>(D11)*1.5%*1490000</f>
        <v>45594</v>
      </c>
      <c r="M11" s="205">
        <f>D11*1490000*1%</f>
        <v>30396</v>
      </c>
      <c r="N11" s="205">
        <f>M11</f>
        <v>30396</v>
      </c>
      <c r="O11" s="205">
        <f>(D11)*2%*1490000</f>
        <v>60792.000000000007</v>
      </c>
      <c r="P11" s="205"/>
      <c r="Q11" s="206">
        <f>O11</f>
        <v>60792.000000000007</v>
      </c>
      <c r="R11" s="203"/>
      <c r="S11" s="206">
        <f t="shared" ref="S11:S16" si="0">G11-J11-L11-N11-P11</f>
        <v>3018442.0000000005</v>
      </c>
      <c r="T11" s="203"/>
    </row>
    <row r="12" spans="1:20" s="207" customFormat="1" ht="42" customHeight="1">
      <c r="A12" s="203">
        <v>2</v>
      </c>
      <c r="B12" s="203" t="s">
        <v>191</v>
      </c>
      <c r="C12" s="203" t="s">
        <v>210</v>
      </c>
      <c r="D12" s="208">
        <v>1.68</v>
      </c>
      <c r="E12" s="203">
        <v>0.2</v>
      </c>
      <c r="F12" s="204">
        <f t="shared" ref="F12:F16" si="1">SUM(D12:E12)</f>
        <v>1.88</v>
      </c>
      <c r="G12" s="205">
        <f t="shared" ref="G12:G16" si="2">F12*1490000</f>
        <v>2801200</v>
      </c>
      <c r="H12" s="203">
        <v>30</v>
      </c>
      <c r="I12" s="205">
        <f t="shared" ref="I12:I16" si="3">(D12)*1490000*17.5%</f>
        <v>438060</v>
      </c>
      <c r="J12" s="205">
        <f t="shared" ref="J12:J16" si="4">(D12)*1490000*8%</f>
        <v>200256</v>
      </c>
      <c r="K12" s="205">
        <f t="shared" ref="K12:K16" si="5">(D12)*1490000*3%</f>
        <v>75096</v>
      </c>
      <c r="L12" s="205">
        <f t="shared" ref="L12:L16" si="6">(D12)*1.5%*1490000</f>
        <v>37547.999999999993</v>
      </c>
      <c r="M12" s="205">
        <f t="shared" ref="M12:M16" si="7">D12*1490000*1%</f>
        <v>25032</v>
      </c>
      <c r="N12" s="205">
        <f t="shared" ref="N12:N16" si="8">M12</f>
        <v>25032</v>
      </c>
      <c r="O12" s="205">
        <f t="shared" ref="O12:O16" si="9">(D12)*2%*1490000</f>
        <v>50064</v>
      </c>
      <c r="P12" s="205"/>
      <c r="Q12" s="206">
        <f t="shared" ref="Q12:Q16" si="10">O12</f>
        <v>50064</v>
      </c>
      <c r="R12" s="203"/>
      <c r="S12" s="206">
        <f t="shared" si="0"/>
        <v>2538364</v>
      </c>
      <c r="T12" s="203"/>
    </row>
    <row r="13" spans="1:20" s="207" customFormat="1" ht="42" customHeight="1">
      <c r="A13" s="203">
        <v>3</v>
      </c>
      <c r="B13" s="203" t="s">
        <v>192</v>
      </c>
      <c r="C13" s="203" t="s">
        <v>210</v>
      </c>
      <c r="D13" s="203">
        <v>1.72</v>
      </c>
      <c r="E13" s="203">
        <v>0.2</v>
      </c>
      <c r="F13" s="204">
        <f t="shared" si="1"/>
        <v>1.92</v>
      </c>
      <c r="G13" s="205">
        <f t="shared" si="2"/>
        <v>2860800</v>
      </c>
      <c r="H13" s="203">
        <v>22</v>
      </c>
      <c r="I13" s="205">
        <f t="shared" si="3"/>
        <v>448490</v>
      </c>
      <c r="J13" s="205">
        <f t="shared" si="4"/>
        <v>205024</v>
      </c>
      <c r="K13" s="205">
        <f t="shared" si="5"/>
        <v>76884</v>
      </c>
      <c r="L13" s="205">
        <f t="shared" si="6"/>
        <v>38442</v>
      </c>
      <c r="M13" s="205">
        <f t="shared" si="7"/>
        <v>25628</v>
      </c>
      <c r="N13" s="205">
        <f t="shared" si="8"/>
        <v>25628</v>
      </c>
      <c r="O13" s="205">
        <f t="shared" si="9"/>
        <v>51256</v>
      </c>
      <c r="P13" s="205"/>
      <c r="Q13" s="206">
        <f t="shared" si="10"/>
        <v>51256</v>
      </c>
      <c r="R13" s="203"/>
      <c r="S13" s="206">
        <f t="shared" si="0"/>
        <v>2591706</v>
      </c>
      <c r="T13" s="203"/>
    </row>
    <row r="14" spans="1:20" s="207" customFormat="1" ht="42" customHeight="1">
      <c r="A14" s="203">
        <v>4</v>
      </c>
      <c r="B14" s="209" t="s">
        <v>203</v>
      </c>
      <c r="C14" s="203" t="s">
        <v>210</v>
      </c>
      <c r="D14" s="203">
        <v>1.54</v>
      </c>
      <c r="E14" s="203">
        <v>0.2</v>
      </c>
      <c r="F14" s="204">
        <f t="shared" si="1"/>
        <v>1.74</v>
      </c>
      <c r="G14" s="205">
        <f t="shared" si="2"/>
        <v>2592600</v>
      </c>
      <c r="H14" s="203">
        <v>22</v>
      </c>
      <c r="I14" s="205">
        <f t="shared" si="3"/>
        <v>401555</v>
      </c>
      <c r="J14" s="205">
        <f t="shared" si="4"/>
        <v>183568</v>
      </c>
      <c r="K14" s="205">
        <f t="shared" si="5"/>
        <v>68838</v>
      </c>
      <c r="L14" s="205">
        <f t="shared" si="6"/>
        <v>34419</v>
      </c>
      <c r="M14" s="205">
        <f t="shared" si="7"/>
        <v>22946</v>
      </c>
      <c r="N14" s="205">
        <f t="shared" si="8"/>
        <v>22946</v>
      </c>
      <c r="O14" s="205">
        <f t="shared" si="9"/>
        <v>45892</v>
      </c>
      <c r="P14" s="205"/>
      <c r="Q14" s="206">
        <f t="shared" si="10"/>
        <v>45892</v>
      </c>
      <c r="R14" s="203"/>
      <c r="S14" s="206">
        <f t="shared" si="0"/>
        <v>2351667</v>
      </c>
      <c r="T14" s="203"/>
    </row>
    <row r="15" spans="1:20" s="207" customFormat="1" ht="42" customHeight="1">
      <c r="A15" s="203">
        <v>5</v>
      </c>
      <c r="B15" s="209" t="s">
        <v>204</v>
      </c>
      <c r="C15" s="203" t="s">
        <v>210</v>
      </c>
      <c r="D15" s="203">
        <v>1.54</v>
      </c>
      <c r="E15" s="203">
        <v>0.2</v>
      </c>
      <c r="F15" s="204">
        <f t="shared" si="1"/>
        <v>1.74</v>
      </c>
      <c r="G15" s="205">
        <f t="shared" si="2"/>
        <v>2592600</v>
      </c>
      <c r="H15" s="203">
        <v>22</v>
      </c>
      <c r="I15" s="205">
        <f t="shared" si="3"/>
        <v>401555</v>
      </c>
      <c r="J15" s="205">
        <f t="shared" si="4"/>
        <v>183568</v>
      </c>
      <c r="K15" s="205">
        <f t="shared" si="5"/>
        <v>68838</v>
      </c>
      <c r="L15" s="205">
        <f t="shared" si="6"/>
        <v>34419</v>
      </c>
      <c r="M15" s="205">
        <f t="shared" si="7"/>
        <v>22946</v>
      </c>
      <c r="N15" s="205">
        <f t="shared" si="8"/>
        <v>22946</v>
      </c>
      <c r="O15" s="205">
        <f t="shared" si="9"/>
        <v>45892</v>
      </c>
      <c r="P15" s="205"/>
      <c r="Q15" s="206">
        <f t="shared" si="10"/>
        <v>45892</v>
      </c>
      <c r="R15" s="203"/>
      <c r="S15" s="206">
        <f t="shared" si="0"/>
        <v>2351667</v>
      </c>
      <c r="T15" s="203"/>
    </row>
    <row r="16" spans="1:20" s="4" customFormat="1" ht="42" customHeight="1">
      <c r="A16" s="5">
        <v>6</v>
      </c>
      <c r="B16" s="219" t="s">
        <v>217</v>
      </c>
      <c r="C16" s="5" t="s">
        <v>210</v>
      </c>
      <c r="D16" s="5">
        <v>1.54</v>
      </c>
      <c r="E16" s="5">
        <v>0.2</v>
      </c>
      <c r="F16" s="220">
        <f t="shared" si="1"/>
        <v>1.74</v>
      </c>
      <c r="G16" s="61">
        <f t="shared" si="2"/>
        <v>2592600</v>
      </c>
      <c r="H16" s="5">
        <v>22</v>
      </c>
      <c r="I16" s="61">
        <f t="shared" si="3"/>
        <v>401555</v>
      </c>
      <c r="J16" s="61">
        <f t="shared" si="4"/>
        <v>183568</v>
      </c>
      <c r="K16" s="61">
        <f t="shared" si="5"/>
        <v>68838</v>
      </c>
      <c r="L16" s="61">
        <f t="shared" si="6"/>
        <v>34419</v>
      </c>
      <c r="M16" s="61">
        <f t="shared" si="7"/>
        <v>22946</v>
      </c>
      <c r="N16" s="61">
        <f t="shared" si="8"/>
        <v>22946</v>
      </c>
      <c r="O16" s="61">
        <f t="shared" si="9"/>
        <v>45892</v>
      </c>
      <c r="P16" s="61"/>
      <c r="Q16" s="147">
        <f t="shared" si="10"/>
        <v>45892</v>
      </c>
      <c r="R16" s="5"/>
      <c r="S16" s="147">
        <f t="shared" si="0"/>
        <v>2351667</v>
      </c>
      <c r="T16" s="5"/>
    </row>
    <row r="17" spans="1:20" s="4" customFormat="1" ht="37.5" customHeight="1">
      <c r="A17" s="300" t="s">
        <v>43</v>
      </c>
      <c r="B17" s="301"/>
      <c r="C17" s="5"/>
      <c r="D17" s="5">
        <f>SUM(D11:D16)</f>
        <v>10.059999999999999</v>
      </c>
      <c r="E17" s="5">
        <f>SUM(E11:E16)</f>
        <v>1.2</v>
      </c>
      <c r="F17" s="5">
        <f>SUM(F11:F16)</f>
        <v>11.26</v>
      </c>
      <c r="G17" s="61">
        <f t="shared" ref="G17" si="11">F17*1390000</f>
        <v>15651400</v>
      </c>
      <c r="H17" s="61"/>
      <c r="I17" s="61">
        <f t="shared" ref="I17:O17" si="12">SUM(I11:I16)</f>
        <v>2623145</v>
      </c>
      <c r="J17" s="61">
        <f t="shared" si="12"/>
        <v>1199152</v>
      </c>
      <c r="K17" s="61">
        <f t="shared" si="12"/>
        <v>449682</v>
      </c>
      <c r="L17" s="61">
        <f t="shared" si="12"/>
        <v>224841</v>
      </c>
      <c r="M17" s="149">
        <f t="shared" si="12"/>
        <v>149894</v>
      </c>
      <c r="N17" s="149">
        <f t="shared" si="12"/>
        <v>149894</v>
      </c>
      <c r="O17" s="61">
        <f t="shared" si="12"/>
        <v>299788</v>
      </c>
      <c r="P17" s="61">
        <f t="shared" ref="P17" si="13">SUM(P11:P14)</f>
        <v>0</v>
      </c>
      <c r="Q17" s="147">
        <f>SUM(Q11:Q16)</f>
        <v>299788</v>
      </c>
      <c r="R17" s="61">
        <f>SUM(R11:R14)</f>
        <v>0</v>
      </c>
      <c r="S17" s="61">
        <f>SUM(S11:S16)</f>
        <v>15203513</v>
      </c>
      <c r="T17" s="5"/>
    </row>
    <row r="19" spans="1:20" ht="15.75">
      <c r="A19" s="4" t="s">
        <v>219</v>
      </c>
      <c r="S19" s="59"/>
    </row>
    <row r="20" spans="1:20">
      <c r="N20" s="275" t="s">
        <v>220</v>
      </c>
      <c r="O20" s="275"/>
      <c r="P20" s="275"/>
      <c r="Q20" s="275"/>
      <c r="R20" s="275"/>
    </row>
    <row r="21" spans="1:20">
      <c r="B21" s="302" t="s">
        <v>189</v>
      </c>
      <c r="C21" s="302"/>
      <c r="D21" s="302"/>
      <c r="E21" s="210"/>
      <c r="F21" s="302" t="s">
        <v>26</v>
      </c>
      <c r="G21" s="302"/>
      <c r="H21" s="302"/>
      <c r="I21" s="302"/>
      <c r="J21" s="210"/>
      <c r="K21" s="210"/>
      <c r="L21" s="210"/>
      <c r="M21" s="210"/>
      <c r="N21" s="302" t="s">
        <v>45</v>
      </c>
      <c r="O21" s="302"/>
      <c r="P21" s="302"/>
      <c r="Q21" s="302"/>
      <c r="R21" s="302"/>
    </row>
    <row r="22" spans="1:20"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</row>
    <row r="23" spans="1:20"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</row>
    <row r="24" spans="1:20"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</row>
    <row r="25" spans="1:20">
      <c r="B25" s="302" t="s">
        <v>8</v>
      </c>
      <c r="C25" s="302"/>
      <c r="D25" s="302"/>
      <c r="E25" s="210"/>
      <c r="F25" s="302" t="s">
        <v>8</v>
      </c>
      <c r="G25" s="302"/>
      <c r="H25" s="302"/>
      <c r="I25" s="302"/>
      <c r="J25" s="210"/>
      <c r="K25" s="210"/>
      <c r="L25" s="210"/>
      <c r="M25" s="210"/>
      <c r="N25" s="210"/>
      <c r="O25" s="210"/>
      <c r="P25" s="210"/>
      <c r="Q25" s="210"/>
      <c r="R25" s="211"/>
    </row>
    <row r="26" spans="1:20"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</row>
    <row r="27" spans="1:20"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</row>
    <row r="28" spans="1:20"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</sheetData>
  <mergeCells count="24">
    <mergeCell ref="O9:R9"/>
    <mergeCell ref="A17:B17"/>
    <mergeCell ref="N20:R20"/>
    <mergeCell ref="B25:D25"/>
    <mergeCell ref="F25:I25"/>
    <mergeCell ref="B21:D21"/>
    <mergeCell ref="F21:I21"/>
    <mergeCell ref="N21:R21"/>
    <mergeCell ref="A5:T5"/>
    <mergeCell ref="A6:T6"/>
    <mergeCell ref="A7:T7"/>
    <mergeCell ref="A9:A10"/>
    <mergeCell ref="B9:B10"/>
    <mergeCell ref="C9:C10"/>
    <mergeCell ref="D9:D10"/>
    <mergeCell ref="E9:E10"/>
    <mergeCell ref="F9:F10"/>
    <mergeCell ref="S9:S10"/>
    <mergeCell ref="T9:T10"/>
    <mergeCell ref="G9:G10"/>
    <mergeCell ref="H9:H10"/>
    <mergeCell ref="I9:J9"/>
    <mergeCell ref="K9:L9"/>
    <mergeCell ref="M9:N9"/>
  </mergeCells>
  <pageMargins left="0.2" right="0.2" top="0.5" bottom="0.5" header="0.3" footer="0.3"/>
  <pageSetup paperSize="9" scale="6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1"/>
  <sheetViews>
    <sheetView topLeftCell="A7" workbookViewId="0">
      <selection activeCell="K19" sqref="K19:L19"/>
    </sheetView>
  </sheetViews>
  <sheetFormatPr defaultRowHeight="12.75"/>
  <cols>
    <col min="1" max="1" width="23.5703125" customWidth="1"/>
    <col min="2" max="2" width="6" customWidth="1"/>
    <col min="3" max="3" width="18" customWidth="1"/>
    <col min="4" max="4" width="13.140625" customWidth="1"/>
    <col min="5" max="5" width="12.28515625" customWidth="1"/>
    <col min="6" max="6" width="15.42578125" customWidth="1"/>
    <col min="7" max="7" width="14.42578125" customWidth="1"/>
    <col min="8" max="8" width="22.42578125" customWidth="1"/>
    <col min="9" max="9" width="24.85546875" bestFit="1" customWidth="1"/>
    <col min="10" max="10" width="15.85546875" bestFit="1" customWidth="1"/>
    <col min="257" max="257" width="23.5703125" customWidth="1"/>
    <col min="258" max="258" width="6" customWidth="1"/>
    <col min="259" max="259" width="16.5703125" customWidth="1"/>
    <col min="260" max="260" width="16.42578125" customWidth="1"/>
    <col min="261" max="261" width="14.7109375" customWidth="1"/>
    <col min="262" max="262" width="15.42578125" customWidth="1"/>
    <col min="263" max="263" width="14.42578125" customWidth="1"/>
    <col min="264" max="264" width="22.42578125" customWidth="1"/>
    <col min="265" max="265" width="16.5703125" bestFit="1" customWidth="1"/>
    <col min="266" max="266" width="15.85546875" bestFit="1" customWidth="1"/>
    <col min="513" max="513" width="23.5703125" customWidth="1"/>
    <col min="514" max="514" width="6" customWidth="1"/>
    <col min="515" max="515" width="16.5703125" customWidth="1"/>
    <col min="516" max="516" width="16.42578125" customWidth="1"/>
    <col min="517" max="517" width="14.7109375" customWidth="1"/>
    <col min="518" max="518" width="15.42578125" customWidth="1"/>
    <col min="519" max="519" width="14.42578125" customWidth="1"/>
    <col min="520" max="520" width="22.42578125" customWidth="1"/>
    <col min="521" max="521" width="16.5703125" bestFit="1" customWidth="1"/>
    <col min="522" max="522" width="15.85546875" bestFit="1" customWidth="1"/>
    <col min="769" max="769" width="23.5703125" customWidth="1"/>
    <col min="770" max="770" width="6" customWidth="1"/>
    <col min="771" max="771" width="16.5703125" customWidth="1"/>
    <col min="772" max="772" width="16.42578125" customWidth="1"/>
    <col min="773" max="773" width="14.7109375" customWidth="1"/>
    <col min="774" max="774" width="15.42578125" customWidth="1"/>
    <col min="775" max="775" width="14.42578125" customWidth="1"/>
    <col min="776" max="776" width="22.42578125" customWidth="1"/>
    <col min="777" max="777" width="16.5703125" bestFit="1" customWidth="1"/>
    <col min="778" max="778" width="15.85546875" bestFit="1" customWidth="1"/>
    <col min="1025" max="1025" width="23.5703125" customWidth="1"/>
    <col min="1026" max="1026" width="6" customWidth="1"/>
    <col min="1027" max="1027" width="16.5703125" customWidth="1"/>
    <col min="1028" max="1028" width="16.42578125" customWidth="1"/>
    <col min="1029" max="1029" width="14.7109375" customWidth="1"/>
    <col min="1030" max="1030" width="15.42578125" customWidth="1"/>
    <col min="1031" max="1031" width="14.42578125" customWidth="1"/>
    <col min="1032" max="1032" width="22.42578125" customWidth="1"/>
    <col min="1033" max="1033" width="16.5703125" bestFit="1" customWidth="1"/>
    <col min="1034" max="1034" width="15.85546875" bestFit="1" customWidth="1"/>
    <col min="1281" max="1281" width="23.5703125" customWidth="1"/>
    <col min="1282" max="1282" width="6" customWidth="1"/>
    <col min="1283" max="1283" width="16.5703125" customWidth="1"/>
    <col min="1284" max="1284" width="16.42578125" customWidth="1"/>
    <col min="1285" max="1285" width="14.7109375" customWidth="1"/>
    <col min="1286" max="1286" width="15.42578125" customWidth="1"/>
    <col min="1287" max="1287" width="14.42578125" customWidth="1"/>
    <col min="1288" max="1288" width="22.42578125" customWidth="1"/>
    <col min="1289" max="1289" width="16.5703125" bestFit="1" customWidth="1"/>
    <col min="1290" max="1290" width="15.85546875" bestFit="1" customWidth="1"/>
    <col min="1537" max="1537" width="23.5703125" customWidth="1"/>
    <col min="1538" max="1538" width="6" customWidth="1"/>
    <col min="1539" max="1539" width="16.5703125" customWidth="1"/>
    <col min="1540" max="1540" width="16.42578125" customWidth="1"/>
    <col min="1541" max="1541" width="14.7109375" customWidth="1"/>
    <col min="1542" max="1542" width="15.42578125" customWidth="1"/>
    <col min="1543" max="1543" width="14.42578125" customWidth="1"/>
    <col min="1544" max="1544" width="22.42578125" customWidth="1"/>
    <col min="1545" max="1545" width="16.5703125" bestFit="1" customWidth="1"/>
    <col min="1546" max="1546" width="15.85546875" bestFit="1" customWidth="1"/>
    <col min="1793" max="1793" width="23.5703125" customWidth="1"/>
    <col min="1794" max="1794" width="6" customWidth="1"/>
    <col min="1795" max="1795" width="16.5703125" customWidth="1"/>
    <col min="1796" max="1796" width="16.42578125" customWidth="1"/>
    <col min="1797" max="1797" width="14.7109375" customWidth="1"/>
    <col min="1798" max="1798" width="15.42578125" customWidth="1"/>
    <col min="1799" max="1799" width="14.42578125" customWidth="1"/>
    <col min="1800" max="1800" width="22.42578125" customWidth="1"/>
    <col min="1801" max="1801" width="16.5703125" bestFit="1" customWidth="1"/>
    <col min="1802" max="1802" width="15.85546875" bestFit="1" customWidth="1"/>
    <col min="2049" max="2049" width="23.5703125" customWidth="1"/>
    <col min="2050" max="2050" width="6" customWidth="1"/>
    <col min="2051" max="2051" width="16.5703125" customWidth="1"/>
    <col min="2052" max="2052" width="16.42578125" customWidth="1"/>
    <col min="2053" max="2053" width="14.7109375" customWidth="1"/>
    <col min="2054" max="2054" width="15.42578125" customWidth="1"/>
    <col min="2055" max="2055" width="14.42578125" customWidth="1"/>
    <col min="2056" max="2056" width="22.42578125" customWidth="1"/>
    <col min="2057" max="2057" width="16.5703125" bestFit="1" customWidth="1"/>
    <col min="2058" max="2058" width="15.85546875" bestFit="1" customWidth="1"/>
    <col min="2305" max="2305" width="23.5703125" customWidth="1"/>
    <col min="2306" max="2306" width="6" customWidth="1"/>
    <col min="2307" max="2307" width="16.5703125" customWidth="1"/>
    <col min="2308" max="2308" width="16.42578125" customWidth="1"/>
    <col min="2309" max="2309" width="14.7109375" customWidth="1"/>
    <col min="2310" max="2310" width="15.42578125" customWidth="1"/>
    <col min="2311" max="2311" width="14.42578125" customWidth="1"/>
    <col min="2312" max="2312" width="22.42578125" customWidth="1"/>
    <col min="2313" max="2313" width="16.5703125" bestFit="1" customWidth="1"/>
    <col min="2314" max="2314" width="15.85546875" bestFit="1" customWidth="1"/>
    <col min="2561" max="2561" width="23.5703125" customWidth="1"/>
    <col min="2562" max="2562" width="6" customWidth="1"/>
    <col min="2563" max="2563" width="16.5703125" customWidth="1"/>
    <col min="2564" max="2564" width="16.42578125" customWidth="1"/>
    <col min="2565" max="2565" width="14.7109375" customWidth="1"/>
    <col min="2566" max="2566" width="15.42578125" customWidth="1"/>
    <col min="2567" max="2567" width="14.42578125" customWidth="1"/>
    <col min="2568" max="2568" width="22.42578125" customWidth="1"/>
    <col min="2569" max="2569" width="16.5703125" bestFit="1" customWidth="1"/>
    <col min="2570" max="2570" width="15.85546875" bestFit="1" customWidth="1"/>
    <col min="2817" max="2817" width="23.5703125" customWidth="1"/>
    <col min="2818" max="2818" width="6" customWidth="1"/>
    <col min="2819" max="2819" width="16.5703125" customWidth="1"/>
    <col min="2820" max="2820" width="16.42578125" customWidth="1"/>
    <col min="2821" max="2821" width="14.7109375" customWidth="1"/>
    <col min="2822" max="2822" width="15.42578125" customWidth="1"/>
    <col min="2823" max="2823" width="14.42578125" customWidth="1"/>
    <col min="2824" max="2824" width="22.42578125" customWidth="1"/>
    <col min="2825" max="2825" width="16.5703125" bestFit="1" customWidth="1"/>
    <col min="2826" max="2826" width="15.85546875" bestFit="1" customWidth="1"/>
    <col min="3073" max="3073" width="23.5703125" customWidth="1"/>
    <col min="3074" max="3074" width="6" customWidth="1"/>
    <col min="3075" max="3075" width="16.5703125" customWidth="1"/>
    <col min="3076" max="3076" width="16.42578125" customWidth="1"/>
    <col min="3077" max="3077" width="14.7109375" customWidth="1"/>
    <col min="3078" max="3078" width="15.42578125" customWidth="1"/>
    <col min="3079" max="3079" width="14.42578125" customWidth="1"/>
    <col min="3080" max="3080" width="22.42578125" customWidth="1"/>
    <col min="3081" max="3081" width="16.5703125" bestFit="1" customWidth="1"/>
    <col min="3082" max="3082" width="15.85546875" bestFit="1" customWidth="1"/>
    <col min="3329" max="3329" width="23.5703125" customWidth="1"/>
    <col min="3330" max="3330" width="6" customWidth="1"/>
    <col min="3331" max="3331" width="16.5703125" customWidth="1"/>
    <col min="3332" max="3332" width="16.42578125" customWidth="1"/>
    <col min="3333" max="3333" width="14.7109375" customWidth="1"/>
    <col min="3334" max="3334" width="15.42578125" customWidth="1"/>
    <col min="3335" max="3335" width="14.42578125" customWidth="1"/>
    <col min="3336" max="3336" width="22.42578125" customWidth="1"/>
    <col min="3337" max="3337" width="16.5703125" bestFit="1" customWidth="1"/>
    <col min="3338" max="3338" width="15.85546875" bestFit="1" customWidth="1"/>
    <col min="3585" max="3585" width="23.5703125" customWidth="1"/>
    <col min="3586" max="3586" width="6" customWidth="1"/>
    <col min="3587" max="3587" width="16.5703125" customWidth="1"/>
    <col min="3588" max="3588" width="16.42578125" customWidth="1"/>
    <col min="3589" max="3589" width="14.7109375" customWidth="1"/>
    <col min="3590" max="3590" width="15.42578125" customWidth="1"/>
    <col min="3591" max="3591" width="14.42578125" customWidth="1"/>
    <col min="3592" max="3592" width="22.42578125" customWidth="1"/>
    <col min="3593" max="3593" width="16.5703125" bestFit="1" customWidth="1"/>
    <col min="3594" max="3594" width="15.85546875" bestFit="1" customWidth="1"/>
    <col min="3841" max="3841" width="23.5703125" customWidth="1"/>
    <col min="3842" max="3842" width="6" customWidth="1"/>
    <col min="3843" max="3843" width="16.5703125" customWidth="1"/>
    <col min="3844" max="3844" width="16.42578125" customWidth="1"/>
    <col min="3845" max="3845" width="14.7109375" customWidth="1"/>
    <col min="3846" max="3846" width="15.42578125" customWidth="1"/>
    <col min="3847" max="3847" width="14.42578125" customWidth="1"/>
    <col min="3848" max="3848" width="22.42578125" customWidth="1"/>
    <col min="3849" max="3849" width="16.5703125" bestFit="1" customWidth="1"/>
    <col min="3850" max="3850" width="15.85546875" bestFit="1" customWidth="1"/>
    <col min="4097" max="4097" width="23.5703125" customWidth="1"/>
    <col min="4098" max="4098" width="6" customWidth="1"/>
    <col min="4099" max="4099" width="16.5703125" customWidth="1"/>
    <col min="4100" max="4100" width="16.42578125" customWidth="1"/>
    <col min="4101" max="4101" width="14.7109375" customWidth="1"/>
    <col min="4102" max="4102" width="15.42578125" customWidth="1"/>
    <col min="4103" max="4103" width="14.42578125" customWidth="1"/>
    <col min="4104" max="4104" width="22.42578125" customWidth="1"/>
    <col min="4105" max="4105" width="16.5703125" bestFit="1" customWidth="1"/>
    <col min="4106" max="4106" width="15.85546875" bestFit="1" customWidth="1"/>
    <col min="4353" max="4353" width="23.5703125" customWidth="1"/>
    <col min="4354" max="4354" width="6" customWidth="1"/>
    <col min="4355" max="4355" width="16.5703125" customWidth="1"/>
    <col min="4356" max="4356" width="16.42578125" customWidth="1"/>
    <col min="4357" max="4357" width="14.7109375" customWidth="1"/>
    <col min="4358" max="4358" width="15.42578125" customWidth="1"/>
    <col min="4359" max="4359" width="14.42578125" customWidth="1"/>
    <col min="4360" max="4360" width="22.42578125" customWidth="1"/>
    <col min="4361" max="4361" width="16.5703125" bestFit="1" customWidth="1"/>
    <col min="4362" max="4362" width="15.85546875" bestFit="1" customWidth="1"/>
    <col min="4609" max="4609" width="23.5703125" customWidth="1"/>
    <col min="4610" max="4610" width="6" customWidth="1"/>
    <col min="4611" max="4611" width="16.5703125" customWidth="1"/>
    <col min="4612" max="4612" width="16.42578125" customWidth="1"/>
    <col min="4613" max="4613" width="14.7109375" customWidth="1"/>
    <col min="4614" max="4614" width="15.42578125" customWidth="1"/>
    <col min="4615" max="4615" width="14.42578125" customWidth="1"/>
    <col min="4616" max="4616" width="22.42578125" customWidth="1"/>
    <col min="4617" max="4617" width="16.5703125" bestFit="1" customWidth="1"/>
    <col min="4618" max="4618" width="15.85546875" bestFit="1" customWidth="1"/>
    <col min="4865" max="4865" width="23.5703125" customWidth="1"/>
    <col min="4866" max="4866" width="6" customWidth="1"/>
    <col min="4867" max="4867" width="16.5703125" customWidth="1"/>
    <col min="4868" max="4868" width="16.42578125" customWidth="1"/>
    <col min="4869" max="4869" width="14.7109375" customWidth="1"/>
    <col min="4870" max="4870" width="15.42578125" customWidth="1"/>
    <col min="4871" max="4871" width="14.42578125" customWidth="1"/>
    <col min="4872" max="4872" width="22.42578125" customWidth="1"/>
    <col min="4873" max="4873" width="16.5703125" bestFit="1" customWidth="1"/>
    <col min="4874" max="4874" width="15.85546875" bestFit="1" customWidth="1"/>
    <col min="5121" max="5121" width="23.5703125" customWidth="1"/>
    <col min="5122" max="5122" width="6" customWidth="1"/>
    <col min="5123" max="5123" width="16.5703125" customWidth="1"/>
    <col min="5124" max="5124" width="16.42578125" customWidth="1"/>
    <col min="5125" max="5125" width="14.7109375" customWidth="1"/>
    <col min="5126" max="5126" width="15.42578125" customWidth="1"/>
    <col min="5127" max="5127" width="14.42578125" customWidth="1"/>
    <col min="5128" max="5128" width="22.42578125" customWidth="1"/>
    <col min="5129" max="5129" width="16.5703125" bestFit="1" customWidth="1"/>
    <col min="5130" max="5130" width="15.85546875" bestFit="1" customWidth="1"/>
    <col min="5377" max="5377" width="23.5703125" customWidth="1"/>
    <col min="5378" max="5378" width="6" customWidth="1"/>
    <col min="5379" max="5379" width="16.5703125" customWidth="1"/>
    <col min="5380" max="5380" width="16.42578125" customWidth="1"/>
    <col min="5381" max="5381" width="14.7109375" customWidth="1"/>
    <col min="5382" max="5382" width="15.42578125" customWidth="1"/>
    <col min="5383" max="5383" width="14.42578125" customWidth="1"/>
    <col min="5384" max="5384" width="22.42578125" customWidth="1"/>
    <col min="5385" max="5385" width="16.5703125" bestFit="1" customWidth="1"/>
    <col min="5386" max="5386" width="15.85546875" bestFit="1" customWidth="1"/>
    <col min="5633" max="5633" width="23.5703125" customWidth="1"/>
    <col min="5634" max="5634" width="6" customWidth="1"/>
    <col min="5635" max="5635" width="16.5703125" customWidth="1"/>
    <col min="5636" max="5636" width="16.42578125" customWidth="1"/>
    <col min="5637" max="5637" width="14.7109375" customWidth="1"/>
    <col min="5638" max="5638" width="15.42578125" customWidth="1"/>
    <col min="5639" max="5639" width="14.42578125" customWidth="1"/>
    <col min="5640" max="5640" width="22.42578125" customWidth="1"/>
    <col min="5641" max="5641" width="16.5703125" bestFit="1" customWidth="1"/>
    <col min="5642" max="5642" width="15.85546875" bestFit="1" customWidth="1"/>
    <col min="5889" max="5889" width="23.5703125" customWidth="1"/>
    <col min="5890" max="5890" width="6" customWidth="1"/>
    <col min="5891" max="5891" width="16.5703125" customWidth="1"/>
    <col min="5892" max="5892" width="16.42578125" customWidth="1"/>
    <col min="5893" max="5893" width="14.7109375" customWidth="1"/>
    <col min="5894" max="5894" width="15.42578125" customWidth="1"/>
    <col min="5895" max="5895" width="14.42578125" customWidth="1"/>
    <col min="5896" max="5896" width="22.42578125" customWidth="1"/>
    <col min="5897" max="5897" width="16.5703125" bestFit="1" customWidth="1"/>
    <col min="5898" max="5898" width="15.85546875" bestFit="1" customWidth="1"/>
    <col min="6145" max="6145" width="23.5703125" customWidth="1"/>
    <col min="6146" max="6146" width="6" customWidth="1"/>
    <col min="6147" max="6147" width="16.5703125" customWidth="1"/>
    <col min="6148" max="6148" width="16.42578125" customWidth="1"/>
    <col min="6149" max="6149" width="14.7109375" customWidth="1"/>
    <col min="6150" max="6150" width="15.42578125" customWidth="1"/>
    <col min="6151" max="6151" width="14.42578125" customWidth="1"/>
    <col min="6152" max="6152" width="22.42578125" customWidth="1"/>
    <col min="6153" max="6153" width="16.5703125" bestFit="1" customWidth="1"/>
    <col min="6154" max="6154" width="15.85546875" bestFit="1" customWidth="1"/>
    <col min="6401" max="6401" width="23.5703125" customWidth="1"/>
    <col min="6402" max="6402" width="6" customWidth="1"/>
    <col min="6403" max="6403" width="16.5703125" customWidth="1"/>
    <col min="6404" max="6404" width="16.42578125" customWidth="1"/>
    <col min="6405" max="6405" width="14.7109375" customWidth="1"/>
    <col min="6406" max="6406" width="15.42578125" customWidth="1"/>
    <col min="6407" max="6407" width="14.42578125" customWidth="1"/>
    <col min="6408" max="6408" width="22.42578125" customWidth="1"/>
    <col min="6409" max="6409" width="16.5703125" bestFit="1" customWidth="1"/>
    <col min="6410" max="6410" width="15.85546875" bestFit="1" customWidth="1"/>
    <col min="6657" max="6657" width="23.5703125" customWidth="1"/>
    <col min="6658" max="6658" width="6" customWidth="1"/>
    <col min="6659" max="6659" width="16.5703125" customWidth="1"/>
    <col min="6660" max="6660" width="16.42578125" customWidth="1"/>
    <col min="6661" max="6661" width="14.7109375" customWidth="1"/>
    <col min="6662" max="6662" width="15.42578125" customWidth="1"/>
    <col min="6663" max="6663" width="14.42578125" customWidth="1"/>
    <col min="6664" max="6664" width="22.42578125" customWidth="1"/>
    <col min="6665" max="6665" width="16.5703125" bestFit="1" customWidth="1"/>
    <col min="6666" max="6666" width="15.85546875" bestFit="1" customWidth="1"/>
    <col min="6913" max="6913" width="23.5703125" customWidth="1"/>
    <col min="6914" max="6914" width="6" customWidth="1"/>
    <col min="6915" max="6915" width="16.5703125" customWidth="1"/>
    <col min="6916" max="6916" width="16.42578125" customWidth="1"/>
    <col min="6917" max="6917" width="14.7109375" customWidth="1"/>
    <col min="6918" max="6918" width="15.42578125" customWidth="1"/>
    <col min="6919" max="6919" width="14.42578125" customWidth="1"/>
    <col min="6920" max="6920" width="22.42578125" customWidth="1"/>
    <col min="6921" max="6921" width="16.5703125" bestFit="1" customWidth="1"/>
    <col min="6922" max="6922" width="15.85546875" bestFit="1" customWidth="1"/>
    <col min="7169" max="7169" width="23.5703125" customWidth="1"/>
    <col min="7170" max="7170" width="6" customWidth="1"/>
    <col min="7171" max="7171" width="16.5703125" customWidth="1"/>
    <col min="7172" max="7172" width="16.42578125" customWidth="1"/>
    <col min="7173" max="7173" width="14.7109375" customWidth="1"/>
    <col min="7174" max="7174" width="15.42578125" customWidth="1"/>
    <col min="7175" max="7175" width="14.42578125" customWidth="1"/>
    <col min="7176" max="7176" width="22.42578125" customWidth="1"/>
    <col min="7177" max="7177" width="16.5703125" bestFit="1" customWidth="1"/>
    <col min="7178" max="7178" width="15.85546875" bestFit="1" customWidth="1"/>
    <col min="7425" max="7425" width="23.5703125" customWidth="1"/>
    <col min="7426" max="7426" width="6" customWidth="1"/>
    <col min="7427" max="7427" width="16.5703125" customWidth="1"/>
    <col min="7428" max="7428" width="16.42578125" customWidth="1"/>
    <col min="7429" max="7429" width="14.7109375" customWidth="1"/>
    <col min="7430" max="7430" width="15.42578125" customWidth="1"/>
    <col min="7431" max="7431" width="14.42578125" customWidth="1"/>
    <col min="7432" max="7432" width="22.42578125" customWidth="1"/>
    <col min="7433" max="7433" width="16.5703125" bestFit="1" customWidth="1"/>
    <col min="7434" max="7434" width="15.85546875" bestFit="1" customWidth="1"/>
    <col min="7681" max="7681" width="23.5703125" customWidth="1"/>
    <col min="7682" max="7682" width="6" customWidth="1"/>
    <col min="7683" max="7683" width="16.5703125" customWidth="1"/>
    <col min="7684" max="7684" width="16.42578125" customWidth="1"/>
    <col min="7685" max="7685" width="14.7109375" customWidth="1"/>
    <col min="7686" max="7686" width="15.42578125" customWidth="1"/>
    <col min="7687" max="7687" width="14.42578125" customWidth="1"/>
    <col min="7688" max="7688" width="22.42578125" customWidth="1"/>
    <col min="7689" max="7689" width="16.5703125" bestFit="1" customWidth="1"/>
    <col min="7690" max="7690" width="15.85546875" bestFit="1" customWidth="1"/>
    <col min="7937" max="7937" width="23.5703125" customWidth="1"/>
    <col min="7938" max="7938" width="6" customWidth="1"/>
    <col min="7939" max="7939" width="16.5703125" customWidth="1"/>
    <col min="7940" max="7940" width="16.42578125" customWidth="1"/>
    <col min="7941" max="7941" width="14.7109375" customWidth="1"/>
    <col min="7942" max="7942" width="15.42578125" customWidth="1"/>
    <col min="7943" max="7943" width="14.42578125" customWidth="1"/>
    <col min="7944" max="7944" width="22.42578125" customWidth="1"/>
    <col min="7945" max="7945" width="16.5703125" bestFit="1" customWidth="1"/>
    <col min="7946" max="7946" width="15.85546875" bestFit="1" customWidth="1"/>
    <col min="8193" max="8193" width="23.5703125" customWidth="1"/>
    <col min="8194" max="8194" width="6" customWidth="1"/>
    <col min="8195" max="8195" width="16.5703125" customWidth="1"/>
    <col min="8196" max="8196" width="16.42578125" customWidth="1"/>
    <col min="8197" max="8197" width="14.7109375" customWidth="1"/>
    <col min="8198" max="8198" width="15.42578125" customWidth="1"/>
    <col min="8199" max="8199" width="14.42578125" customWidth="1"/>
    <col min="8200" max="8200" width="22.42578125" customWidth="1"/>
    <col min="8201" max="8201" width="16.5703125" bestFit="1" customWidth="1"/>
    <col min="8202" max="8202" width="15.85546875" bestFit="1" customWidth="1"/>
    <col min="8449" max="8449" width="23.5703125" customWidth="1"/>
    <col min="8450" max="8450" width="6" customWidth="1"/>
    <col min="8451" max="8451" width="16.5703125" customWidth="1"/>
    <col min="8452" max="8452" width="16.42578125" customWidth="1"/>
    <col min="8453" max="8453" width="14.7109375" customWidth="1"/>
    <col min="8454" max="8454" width="15.42578125" customWidth="1"/>
    <col min="8455" max="8455" width="14.42578125" customWidth="1"/>
    <col min="8456" max="8456" width="22.42578125" customWidth="1"/>
    <col min="8457" max="8457" width="16.5703125" bestFit="1" customWidth="1"/>
    <col min="8458" max="8458" width="15.85546875" bestFit="1" customWidth="1"/>
    <col min="8705" max="8705" width="23.5703125" customWidth="1"/>
    <col min="8706" max="8706" width="6" customWidth="1"/>
    <col min="8707" max="8707" width="16.5703125" customWidth="1"/>
    <col min="8708" max="8708" width="16.42578125" customWidth="1"/>
    <col min="8709" max="8709" width="14.7109375" customWidth="1"/>
    <col min="8710" max="8710" width="15.42578125" customWidth="1"/>
    <col min="8711" max="8711" width="14.42578125" customWidth="1"/>
    <col min="8712" max="8712" width="22.42578125" customWidth="1"/>
    <col min="8713" max="8713" width="16.5703125" bestFit="1" customWidth="1"/>
    <col min="8714" max="8714" width="15.85546875" bestFit="1" customWidth="1"/>
    <col min="8961" max="8961" width="23.5703125" customWidth="1"/>
    <col min="8962" max="8962" width="6" customWidth="1"/>
    <col min="8963" max="8963" width="16.5703125" customWidth="1"/>
    <col min="8964" max="8964" width="16.42578125" customWidth="1"/>
    <col min="8965" max="8965" width="14.7109375" customWidth="1"/>
    <col min="8966" max="8966" width="15.42578125" customWidth="1"/>
    <col min="8967" max="8967" width="14.42578125" customWidth="1"/>
    <col min="8968" max="8968" width="22.42578125" customWidth="1"/>
    <col min="8969" max="8969" width="16.5703125" bestFit="1" customWidth="1"/>
    <col min="8970" max="8970" width="15.85546875" bestFit="1" customWidth="1"/>
    <col min="9217" max="9217" width="23.5703125" customWidth="1"/>
    <col min="9218" max="9218" width="6" customWidth="1"/>
    <col min="9219" max="9219" width="16.5703125" customWidth="1"/>
    <col min="9220" max="9220" width="16.42578125" customWidth="1"/>
    <col min="9221" max="9221" width="14.7109375" customWidth="1"/>
    <col min="9222" max="9222" width="15.42578125" customWidth="1"/>
    <col min="9223" max="9223" width="14.42578125" customWidth="1"/>
    <col min="9224" max="9224" width="22.42578125" customWidth="1"/>
    <col min="9225" max="9225" width="16.5703125" bestFit="1" customWidth="1"/>
    <col min="9226" max="9226" width="15.85546875" bestFit="1" customWidth="1"/>
    <col min="9473" max="9473" width="23.5703125" customWidth="1"/>
    <col min="9474" max="9474" width="6" customWidth="1"/>
    <col min="9475" max="9475" width="16.5703125" customWidth="1"/>
    <col min="9476" max="9476" width="16.42578125" customWidth="1"/>
    <col min="9477" max="9477" width="14.7109375" customWidth="1"/>
    <col min="9478" max="9478" width="15.42578125" customWidth="1"/>
    <col min="9479" max="9479" width="14.42578125" customWidth="1"/>
    <col min="9480" max="9480" width="22.42578125" customWidth="1"/>
    <col min="9481" max="9481" width="16.5703125" bestFit="1" customWidth="1"/>
    <col min="9482" max="9482" width="15.85546875" bestFit="1" customWidth="1"/>
    <col min="9729" max="9729" width="23.5703125" customWidth="1"/>
    <col min="9730" max="9730" width="6" customWidth="1"/>
    <col min="9731" max="9731" width="16.5703125" customWidth="1"/>
    <col min="9732" max="9732" width="16.42578125" customWidth="1"/>
    <col min="9733" max="9733" width="14.7109375" customWidth="1"/>
    <col min="9734" max="9734" width="15.42578125" customWidth="1"/>
    <col min="9735" max="9735" width="14.42578125" customWidth="1"/>
    <col min="9736" max="9736" width="22.42578125" customWidth="1"/>
    <col min="9737" max="9737" width="16.5703125" bestFit="1" customWidth="1"/>
    <col min="9738" max="9738" width="15.85546875" bestFit="1" customWidth="1"/>
    <col min="9985" max="9985" width="23.5703125" customWidth="1"/>
    <col min="9986" max="9986" width="6" customWidth="1"/>
    <col min="9987" max="9987" width="16.5703125" customWidth="1"/>
    <col min="9988" max="9988" width="16.42578125" customWidth="1"/>
    <col min="9989" max="9989" width="14.7109375" customWidth="1"/>
    <col min="9990" max="9990" width="15.42578125" customWidth="1"/>
    <col min="9991" max="9991" width="14.42578125" customWidth="1"/>
    <col min="9992" max="9992" width="22.42578125" customWidth="1"/>
    <col min="9993" max="9993" width="16.5703125" bestFit="1" customWidth="1"/>
    <col min="9994" max="9994" width="15.85546875" bestFit="1" customWidth="1"/>
    <col min="10241" max="10241" width="23.5703125" customWidth="1"/>
    <col min="10242" max="10242" width="6" customWidth="1"/>
    <col min="10243" max="10243" width="16.5703125" customWidth="1"/>
    <col min="10244" max="10244" width="16.42578125" customWidth="1"/>
    <col min="10245" max="10245" width="14.7109375" customWidth="1"/>
    <col min="10246" max="10246" width="15.42578125" customWidth="1"/>
    <col min="10247" max="10247" width="14.42578125" customWidth="1"/>
    <col min="10248" max="10248" width="22.42578125" customWidth="1"/>
    <col min="10249" max="10249" width="16.5703125" bestFit="1" customWidth="1"/>
    <col min="10250" max="10250" width="15.85546875" bestFit="1" customWidth="1"/>
    <col min="10497" max="10497" width="23.5703125" customWidth="1"/>
    <col min="10498" max="10498" width="6" customWidth="1"/>
    <col min="10499" max="10499" width="16.5703125" customWidth="1"/>
    <col min="10500" max="10500" width="16.42578125" customWidth="1"/>
    <col min="10501" max="10501" width="14.7109375" customWidth="1"/>
    <col min="10502" max="10502" width="15.42578125" customWidth="1"/>
    <col min="10503" max="10503" width="14.42578125" customWidth="1"/>
    <col min="10504" max="10504" width="22.42578125" customWidth="1"/>
    <col min="10505" max="10505" width="16.5703125" bestFit="1" customWidth="1"/>
    <col min="10506" max="10506" width="15.85546875" bestFit="1" customWidth="1"/>
    <col min="10753" max="10753" width="23.5703125" customWidth="1"/>
    <col min="10754" max="10754" width="6" customWidth="1"/>
    <col min="10755" max="10755" width="16.5703125" customWidth="1"/>
    <col min="10756" max="10756" width="16.42578125" customWidth="1"/>
    <col min="10757" max="10757" width="14.7109375" customWidth="1"/>
    <col min="10758" max="10758" width="15.42578125" customWidth="1"/>
    <col min="10759" max="10759" width="14.42578125" customWidth="1"/>
    <col min="10760" max="10760" width="22.42578125" customWidth="1"/>
    <col min="10761" max="10761" width="16.5703125" bestFit="1" customWidth="1"/>
    <col min="10762" max="10762" width="15.85546875" bestFit="1" customWidth="1"/>
    <col min="11009" max="11009" width="23.5703125" customWidth="1"/>
    <col min="11010" max="11010" width="6" customWidth="1"/>
    <col min="11011" max="11011" width="16.5703125" customWidth="1"/>
    <col min="11012" max="11012" width="16.42578125" customWidth="1"/>
    <col min="11013" max="11013" width="14.7109375" customWidth="1"/>
    <col min="11014" max="11014" width="15.42578125" customWidth="1"/>
    <col min="11015" max="11015" width="14.42578125" customWidth="1"/>
    <col min="11016" max="11016" width="22.42578125" customWidth="1"/>
    <col min="11017" max="11017" width="16.5703125" bestFit="1" customWidth="1"/>
    <col min="11018" max="11018" width="15.85546875" bestFit="1" customWidth="1"/>
    <col min="11265" max="11265" width="23.5703125" customWidth="1"/>
    <col min="11266" max="11266" width="6" customWidth="1"/>
    <col min="11267" max="11267" width="16.5703125" customWidth="1"/>
    <col min="11268" max="11268" width="16.42578125" customWidth="1"/>
    <col min="11269" max="11269" width="14.7109375" customWidth="1"/>
    <col min="11270" max="11270" width="15.42578125" customWidth="1"/>
    <col min="11271" max="11271" width="14.42578125" customWidth="1"/>
    <col min="11272" max="11272" width="22.42578125" customWidth="1"/>
    <col min="11273" max="11273" width="16.5703125" bestFit="1" customWidth="1"/>
    <col min="11274" max="11274" width="15.85546875" bestFit="1" customWidth="1"/>
    <col min="11521" max="11521" width="23.5703125" customWidth="1"/>
    <col min="11522" max="11522" width="6" customWidth="1"/>
    <col min="11523" max="11523" width="16.5703125" customWidth="1"/>
    <col min="11524" max="11524" width="16.42578125" customWidth="1"/>
    <col min="11525" max="11525" width="14.7109375" customWidth="1"/>
    <col min="11526" max="11526" width="15.42578125" customWidth="1"/>
    <col min="11527" max="11527" width="14.42578125" customWidth="1"/>
    <col min="11528" max="11528" width="22.42578125" customWidth="1"/>
    <col min="11529" max="11529" width="16.5703125" bestFit="1" customWidth="1"/>
    <col min="11530" max="11530" width="15.85546875" bestFit="1" customWidth="1"/>
    <col min="11777" max="11777" width="23.5703125" customWidth="1"/>
    <col min="11778" max="11778" width="6" customWidth="1"/>
    <col min="11779" max="11779" width="16.5703125" customWidth="1"/>
    <col min="11780" max="11780" width="16.42578125" customWidth="1"/>
    <col min="11781" max="11781" width="14.7109375" customWidth="1"/>
    <col min="11782" max="11782" width="15.42578125" customWidth="1"/>
    <col min="11783" max="11783" width="14.42578125" customWidth="1"/>
    <col min="11784" max="11784" width="22.42578125" customWidth="1"/>
    <col min="11785" max="11785" width="16.5703125" bestFit="1" customWidth="1"/>
    <col min="11786" max="11786" width="15.85546875" bestFit="1" customWidth="1"/>
    <col min="12033" max="12033" width="23.5703125" customWidth="1"/>
    <col min="12034" max="12034" width="6" customWidth="1"/>
    <col min="12035" max="12035" width="16.5703125" customWidth="1"/>
    <col min="12036" max="12036" width="16.42578125" customWidth="1"/>
    <col min="12037" max="12037" width="14.7109375" customWidth="1"/>
    <col min="12038" max="12038" width="15.42578125" customWidth="1"/>
    <col min="12039" max="12039" width="14.42578125" customWidth="1"/>
    <col min="12040" max="12040" width="22.42578125" customWidth="1"/>
    <col min="12041" max="12041" width="16.5703125" bestFit="1" customWidth="1"/>
    <col min="12042" max="12042" width="15.85546875" bestFit="1" customWidth="1"/>
    <col min="12289" max="12289" width="23.5703125" customWidth="1"/>
    <col min="12290" max="12290" width="6" customWidth="1"/>
    <col min="12291" max="12291" width="16.5703125" customWidth="1"/>
    <col min="12292" max="12292" width="16.42578125" customWidth="1"/>
    <col min="12293" max="12293" width="14.7109375" customWidth="1"/>
    <col min="12294" max="12294" width="15.42578125" customWidth="1"/>
    <col min="12295" max="12295" width="14.42578125" customWidth="1"/>
    <col min="12296" max="12296" width="22.42578125" customWidth="1"/>
    <col min="12297" max="12297" width="16.5703125" bestFit="1" customWidth="1"/>
    <col min="12298" max="12298" width="15.85546875" bestFit="1" customWidth="1"/>
    <col min="12545" max="12545" width="23.5703125" customWidth="1"/>
    <col min="12546" max="12546" width="6" customWidth="1"/>
    <col min="12547" max="12547" width="16.5703125" customWidth="1"/>
    <col min="12548" max="12548" width="16.42578125" customWidth="1"/>
    <col min="12549" max="12549" width="14.7109375" customWidth="1"/>
    <col min="12550" max="12550" width="15.42578125" customWidth="1"/>
    <col min="12551" max="12551" width="14.42578125" customWidth="1"/>
    <col min="12552" max="12552" width="22.42578125" customWidth="1"/>
    <col min="12553" max="12553" width="16.5703125" bestFit="1" customWidth="1"/>
    <col min="12554" max="12554" width="15.85546875" bestFit="1" customWidth="1"/>
    <col min="12801" max="12801" width="23.5703125" customWidth="1"/>
    <col min="12802" max="12802" width="6" customWidth="1"/>
    <col min="12803" max="12803" width="16.5703125" customWidth="1"/>
    <col min="12804" max="12804" width="16.42578125" customWidth="1"/>
    <col min="12805" max="12805" width="14.7109375" customWidth="1"/>
    <col min="12806" max="12806" width="15.42578125" customWidth="1"/>
    <col min="12807" max="12807" width="14.42578125" customWidth="1"/>
    <col min="12808" max="12808" width="22.42578125" customWidth="1"/>
    <col min="12809" max="12809" width="16.5703125" bestFit="1" customWidth="1"/>
    <col min="12810" max="12810" width="15.85546875" bestFit="1" customWidth="1"/>
    <col min="13057" max="13057" width="23.5703125" customWidth="1"/>
    <col min="13058" max="13058" width="6" customWidth="1"/>
    <col min="13059" max="13059" width="16.5703125" customWidth="1"/>
    <col min="13060" max="13060" width="16.42578125" customWidth="1"/>
    <col min="13061" max="13061" width="14.7109375" customWidth="1"/>
    <col min="13062" max="13062" width="15.42578125" customWidth="1"/>
    <col min="13063" max="13063" width="14.42578125" customWidth="1"/>
    <col min="13064" max="13064" width="22.42578125" customWidth="1"/>
    <col min="13065" max="13065" width="16.5703125" bestFit="1" customWidth="1"/>
    <col min="13066" max="13066" width="15.85546875" bestFit="1" customWidth="1"/>
    <col min="13313" max="13313" width="23.5703125" customWidth="1"/>
    <col min="13314" max="13314" width="6" customWidth="1"/>
    <col min="13315" max="13315" width="16.5703125" customWidth="1"/>
    <col min="13316" max="13316" width="16.42578125" customWidth="1"/>
    <col min="13317" max="13317" width="14.7109375" customWidth="1"/>
    <col min="13318" max="13318" width="15.42578125" customWidth="1"/>
    <col min="13319" max="13319" width="14.42578125" customWidth="1"/>
    <col min="13320" max="13320" width="22.42578125" customWidth="1"/>
    <col min="13321" max="13321" width="16.5703125" bestFit="1" customWidth="1"/>
    <col min="13322" max="13322" width="15.85546875" bestFit="1" customWidth="1"/>
    <col min="13569" max="13569" width="23.5703125" customWidth="1"/>
    <col min="13570" max="13570" width="6" customWidth="1"/>
    <col min="13571" max="13571" width="16.5703125" customWidth="1"/>
    <col min="13572" max="13572" width="16.42578125" customWidth="1"/>
    <col min="13573" max="13573" width="14.7109375" customWidth="1"/>
    <col min="13574" max="13574" width="15.42578125" customWidth="1"/>
    <col min="13575" max="13575" width="14.42578125" customWidth="1"/>
    <col min="13576" max="13576" width="22.42578125" customWidth="1"/>
    <col min="13577" max="13577" width="16.5703125" bestFit="1" customWidth="1"/>
    <col min="13578" max="13578" width="15.85546875" bestFit="1" customWidth="1"/>
    <col min="13825" max="13825" width="23.5703125" customWidth="1"/>
    <col min="13826" max="13826" width="6" customWidth="1"/>
    <col min="13827" max="13827" width="16.5703125" customWidth="1"/>
    <col min="13828" max="13828" width="16.42578125" customWidth="1"/>
    <col min="13829" max="13829" width="14.7109375" customWidth="1"/>
    <col min="13830" max="13830" width="15.42578125" customWidth="1"/>
    <col min="13831" max="13831" width="14.42578125" customWidth="1"/>
    <col min="13832" max="13832" width="22.42578125" customWidth="1"/>
    <col min="13833" max="13833" width="16.5703125" bestFit="1" customWidth="1"/>
    <col min="13834" max="13834" width="15.85546875" bestFit="1" customWidth="1"/>
    <col min="14081" max="14081" width="23.5703125" customWidth="1"/>
    <col min="14082" max="14082" width="6" customWidth="1"/>
    <col min="14083" max="14083" width="16.5703125" customWidth="1"/>
    <col min="14084" max="14084" width="16.42578125" customWidth="1"/>
    <col min="14085" max="14085" width="14.7109375" customWidth="1"/>
    <col min="14086" max="14086" width="15.42578125" customWidth="1"/>
    <col min="14087" max="14087" width="14.42578125" customWidth="1"/>
    <col min="14088" max="14088" width="22.42578125" customWidth="1"/>
    <col min="14089" max="14089" width="16.5703125" bestFit="1" customWidth="1"/>
    <col min="14090" max="14090" width="15.85546875" bestFit="1" customWidth="1"/>
    <col min="14337" max="14337" width="23.5703125" customWidth="1"/>
    <col min="14338" max="14338" width="6" customWidth="1"/>
    <col min="14339" max="14339" width="16.5703125" customWidth="1"/>
    <col min="14340" max="14340" width="16.42578125" customWidth="1"/>
    <col min="14341" max="14341" width="14.7109375" customWidth="1"/>
    <col min="14342" max="14342" width="15.42578125" customWidth="1"/>
    <col min="14343" max="14343" width="14.42578125" customWidth="1"/>
    <col min="14344" max="14344" width="22.42578125" customWidth="1"/>
    <col min="14345" max="14345" width="16.5703125" bestFit="1" customWidth="1"/>
    <col min="14346" max="14346" width="15.85546875" bestFit="1" customWidth="1"/>
    <col min="14593" max="14593" width="23.5703125" customWidth="1"/>
    <col min="14594" max="14594" width="6" customWidth="1"/>
    <col min="14595" max="14595" width="16.5703125" customWidth="1"/>
    <col min="14596" max="14596" width="16.42578125" customWidth="1"/>
    <col min="14597" max="14597" width="14.7109375" customWidth="1"/>
    <col min="14598" max="14598" width="15.42578125" customWidth="1"/>
    <col min="14599" max="14599" width="14.42578125" customWidth="1"/>
    <col min="14600" max="14600" width="22.42578125" customWidth="1"/>
    <col min="14601" max="14601" width="16.5703125" bestFit="1" customWidth="1"/>
    <col min="14602" max="14602" width="15.85546875" bestFit="1" customWidth="1"/>
    <col min="14849" max="14849" width="23.5703125" customWidth="1"/>
    <col min="14850" max="14850" width="6" customWidth="1"/>
    <col min="14851" max="14851" width="16.5703125" customWidth="1"/>
    <col min="14852" max="14852" width="16.42578125" customWidth="1"/>
    <col min="14853" max="14853" width="14.7109375" customWidth="1"/>
    <col min="14854" max="14854" width="15.42578125" customWidth="1"/>
    <col min="14855" max="14855" width="14.42578125" customWidth="1"/>
    <col min="14856" max="14856" width="22.42578125" customWidth="1"/>
    <col min="14857" max="14857" width="16.5703125" bestFit="1" customWidth="1"/>
    <col min="14858" max="14858" width="15.85546875" bestFit="1" customWidth="1"/>
    <col min="15105" max="15105" width="23.5703125" customWidth="1"/>
    <col min="15106" max="15106" width="6" customWidth="1"/>
    <col min="15107" max="15107" width="16.5703125" customWidth="1"/>
    <col min="15108" max="15108" width="16.42578125" customWidth="1"/>
    <col min="15109" max="15109" width="14.7109375" customWidth="1"/>
    <col min="15110" max="15110" width="15.42578125" customWidth="1"/>
    <col min="15111" max="15111" width="14.42578125" customWidth="1"/>
    <col min="15112" max="15112" width="22.42578125" customWidth="1"/>
    <col min="15113" max="15113" width="16.5703125" bestFit="1" customWidth="1"/>
    <col min="15114" max="15114" width="15.85546875" bestFit="1" customWidth="1"/>
    <col min="15361" max="15361" width="23.5703125" customWidth="1"/>
    <col min="15362" max="15362" width="6" customWidth="1"/>
    <col min="15363" max="15363" width="16.5703125" customWidth="1"/>
    <col min="15364" max="15364" width="16.42578125" customWidth="1"/>
    <col min="15365" max="15365" width="14.7109375" customWidth="1"/>
    <col min="15366" max="15366" width="15.42578125" customWidth="1"/>
    <col min="15367" max="15367" width="14.42578125" customWidth="1"/>
    <col min="15368" max="15368" width="22.42578125" customWidth="1"/>
    <col min="15369" max="15369" width="16.5703125" bestFit="1" customWidth="1"/>
    <col min="15370" max="15370" width="15.85546875" bestFit="1" customWidth="1"/>
    <col min="15617" max="15617" width="23.5703125" customWidth="1"/>
    <col min="15618" max="15618" width="6" customWidth="1"/>
    <col min="15619" max="15619" width="16.5703125" customWidth="1"/>
    <col min="15620" max="15620" width="16.42578125" customWidth="1"/>
    <col min="15621" max="15621" width="14.7109375" customWidth="1"/>
    <col min="15622" max="15622" width="15.42578125" customWidth="1"/>
    <col min="15623" max="15623" width="14.42578125" customWidth="1"/>
    <col min="15624" max="15624" width="22.42578125" customWidth="1"/>
    <col min="15625" max="15625" width="16.5703125" bestFit="1" customWidth="1"/>
    <col min="15626" max="15626" width="15.85546875" bestFit="1" customWidth="1"/>
    <col min="15873" max="15873" width="23.5703125" customWidth="1"/>
    <col min="15874" max="15874" width="6" customWidth="1"/>
    <col min="15875" max="15875" width="16.5703125" customWidth="1"/>
    <col min="15876" max="15876" width="16.42578125" customWidth="1"/>
    <col min="15877" max="15877" width="14.7109375" customWidth="1"/>
    <col min="15878" max="15878" width="15.42578125" customWidth="1"/>
    <col min="15879" max="15879" width="14.42578125" customWidth="1"/>
    <col min="15880" max="15880" width="22.42578125" customWidth="1"/>
    <col min="15881" max="15881" width="16.5703125" bestFit="1" customWidth="1"/>
    <col min="15882" max="15882" width="15.85546875" bestFit="1" customWidth="1"/>
    <col min="16129" max="16129" width="23.5703125" customWidth="1"/>
    <col min="16130" max="16130" width="6" customWidth="1"/>
    <col min="16131" max="16131" width="16.5703125" customWidth="1"/>
    <col min="16132" max="16132" width="16.42578125" customWidth="1"/>
    <col min="16133" max="16133" width="14.7109375" customWidth="1"/>
    <col min="16134" max="16134" width="15.42578125" customWidth="1"/>
    <col min="16135" max="16135" width="14.42578125" customWidth="1"/>
    <col min="16136" max="16136" width="22.42578125" customWidth="1"/>
    <col min="16137" max="16137" width="16.5703125" bestFit="1" customWidth="1"/>
    <col min="16138" max="16138" width="15.85546875" bestFit="1" customWidth="1"/>
  </cols>
  <sheetData>
    <row r="1" spans="1:9" ht="14.25" customHeight="1">
      <c r="A1" s="304" t="s">
        <v>85</v>
      </c>
      <c r="B1" s="73"/>
      <c r="G1" s="306" t="s">
        <v>86</v>
      </c>
      <c r="H1" s="306"/>
      <c r="I1" s="74"/>
    </row>
    <row r="2" spans="1:9" ht="27.75" customHeight="1">
      <c r="A2" s="305"/>
      <c r="B2" s="73"/>
      <c r="C2" s="307" t="s">
        <v>87</v>
      </c>
      <c r="D2" s="307"/>
      <c r="E2" s="307"/>
      <c r="F2" s="307"/>
      <c r="G2" s="308" t="s">
        <v>88</v>
      </c>
      <c r="H2" s="308"/>
      <c r="I2" s="75"/>
    </row>
    <row r="3" spans="1:9" ht="15" customHeight="1">
      <c r="A3" s="76"/>
      <c r="B3" s="77" t="s">
        <v>89</v>
      </c>
      <c r="D3" s="77"/>
      <c r="E3" s="78" t="s">
        <v>90</v>
      </c>
      <c r="F3" s="79" t="s">
        <v>91</v>
      </c>
      <c r="G3" s="302" t="s">
        <v>238</v>
      </c>
      <c r="H3" s="303"/>
      <c r="I3" s="80"/>
    </row>
    <row r="4" spans="1:9" ht="15" customHeight="1">
      <c r="A4" s="81"/>
      <c r="B4" s="77" t="s">
        <v>92</v>
      </c>
      <c r="D4" s="77"/>
      <c r="E4" s="77"/>
      <c r="F4" s="79" t="s">
        <v>93</v>
      </c>
      <c r="G4" s="302"/>
      <c r="H4" s="303"/>
      <c r="I4" s="80"/>
    </row>
    <row r="5" spans="1:9" ht="15" customHeight="1">
      <c r="A5" s="81"/>
      <c r="B5" s="77" t="s">
        <v>94</v>
      </c>
      <c r="D5" s="77"/>
      <c r="E5" s="77"/>
      <c r="F5" s="79" t="s">
        <v>95</v>
      </c>
      <c r="H5" s="77"/>
    </row>
    <row r="6" spans="1:9" ht="2.25" customHeight="1">
      <c r="C6" s="82"/>
      <c r="D6" s="82"/>
      <c r="E6" s="82"/>
      <c r="F6" s="82"/>
      <c r="G6" s="82"/>
      <c r="H6" s="82"/>
    </row>
    <row r="7" spans="1:9" s="25" customFormat="1" ht="15.95" customHeight="1">
      <c r="A7" s="83" t="s">
        <v>96</v>
      </c>
      <c r="B7" s="84"/>
      <c r="C7" s="84"/>
      <c r="D7" s="84"/>
      <c r="E7" s="85"/>
      <c r="F7" s="84"/>
      <c r="G7" s="84"/>
      <c r="H7" s="84"/>
    </row>
    <row r="8" spans="1:9" s="25" customFormat="1" ht="15.95" customHeight="1">
      <c r="A8" s="83" t="s">
        <v>75</v>
      </c>
      <c r="B8" s="84"/>
      <c r="D8" s="86" t="s">
        <v>37</v>
      </c>
      <c r="G8" s="86"/>
      <c r="H8" s="84"/>
    </row>
    <row r="9" spans="1:9" s="25" customFormat="1" ht="15.95" customHeight="1">
      <c r="A9" s="86" t="s">
        <v>97</v>
      </c>
      <c r="B9" s="84"/>
      <c r="C9" s="84"/>
      <c r="F9" s="84"/>
      <c r="G9" s="84"/>
      <c r="H9" s="84" t="s">
        <v>98</v>
      </c>
    </row>
    <row r="10" spans="1:9" s="25" customFormat="1" ht="15.95" customHeight="1">
      <c r="A10" s="84"/>
      <c r="B10" s="84"/>
      <c r="C10" s="84"/>
      <c r="D10" s="86" t="s">
        <v>99</v>
      </c>
      <c r="F10" s="84"/>
      <c r="G10" s="84"/>
    </row>
    <row r="11" spans="1:9" s="25" customFormat="1" ht="15.95" customHeight="1">
      <c r="A11" s="83" t="s">
        <v>100</v>
      </c>
      <c r="B11" s="87"/>
      <c r="D11" s="86" t="s">
        <v>101</v>
      </c>
      <c r="G11" s="86"/>
      <c r="H11" s="84"/>
    </row>
    <row r="12" spans="1:9" s="88" customFormat="1" ht="6" customHeight="1"/>
    <row r="13" spans="1:9" s="25" customFormat="1" ht="14.25" customHeight="1">
      <c r="A13" s="311" t="s">
        <v>21</v>
      </c>
      <c r="B13" s="311"/>
      <c r="C13" s="311"/>
      <c r="D13" s="312" t="s">
        <v>22</v>
      </c>
      <c r="E13" s="312" t="s">
        <v>102</v>
      </c>
      <c r="F13" s="312" t="s">
        <v>103</v>
      </c>
      <c r="G13" s="312" t="s">
        <v>104</v>
      </c>
      <c r="H13" s="313" t="s">
        <v>105</v>
      </c>
    </row>
    <row r="14" spans="1:9" s="25" customFormat="1" ht="36" customHeight="1">
      <c r="A14" s="311"/>
      <c r="B14" s="311"/>
      <c r="C14" s="311"/>
      <c r="D14" s="312"/>
      <c r="E14" s="312"/>
      <c r="F14" s="312"/>
      <c r="G14" s="312"/>
      <c r="H14" s="314"/>
    </row>
    <row r="15" spans="1:9" s="25" customFormat="1" ht="15.75">
      <c r="A15" s="315">
        <v>-1</v>
      </c>
      <c r="B15" s="316"/>
      <c r="C15" s="317"/>
      <c r="D15" s="90">
        <v>-2</v>
      </c>
      <c r="E15" s="90">
        <v>-3</v>
      </c>
      <c r="F15" s="90">
        <v>-4</v>
      </c>
      <c r="G15" s="90">
        <v>-5</v>
      </c>
      <c r="H15" s="89">
        <v>-6</v>
      </c>
    </row>
    <row r="16" spans="1:9" s="25" customFormat="1" ht="28.5" customHeight="1">
      <c r="A16" s="318" t="s">
        <v>221</v>
      </c>
      <c r="B16" s="318"/>
      <c r="C16" s="318"/>
      <c r="D16" s="150" t="s">
        <v>193</v>
      </c>
      <c r="E16" s="169">
        <v>622</v>
      </c>
      <c r="F16" s="152" t="s">
        <v>141</v>
      </c>
      <c r="G16" s="169">
        <v>13</v>
      </c>
      <c r="H16" s="151">
        <f>(('Lương T10'!D27-'Lương T10'!D11)*1490000*89.5%)+('Lương T10'!D11*1490000*90.5%)</f>
        <v>70005564.000000015</v>
      </c>
      <c r="I16" s="214">
        <f>(52.44-4.98)*1490000*89.5%+(4.98*1490000*90.5%)</f>
        <v>70005563.999999985</v>
      </c>
    </row>
    <row r="17" spans="1:10" s="25" customFormat="1" ht="28.5" customHeight="1">
      <c r="A17" s="318" t="s">
        <v>222</v>
      </c>
      <c r="B17" s="318"/>
      <c r="C17" s="318"/>
      <c r="D17" s="150" t="s">
        <v>142</v>
      </c>
      <c r="E17" s="169">
        <v>622</v>
      </c>
      <c r="F17" s="152" t="s">
        <v>141</v>
      </c>
      <c r="G17" s="169">
        <v>13</v>
      </c>
      <c r="H17" s="151">
        <f>('BV T10'!D17*1490000*89.5%)</f>
        <v>13415512.999999998</v>
      </c>
      <c r="I17" s="214">
        <f>10.06*1490000*89.5%</f>
        <v>13415513</v>
      </c>
    </row>
    <row r="18" spans="1:10" s="25" customFormat="1" ht="28.5" customHeight="1">
      <c r="A18" s="318" t="s">
        <v>223</v>
      </c>
      <c r="B18" s="318"/>
      <c r="C18" s="318"/>
      <c r="D18" s="150" t="s">
        <v>194</v>
      </c>
      <c r="E18" s="169">
        <v>622</v>
      </c>
      <c r="F18" s="152" t="s">
        <v>141</v>
      </c>
      <c r="G18" s="169">
        <v>13</v>
      </c>
      <c r="H18" s="151">
        <f>(('Lương T10'!E27-'Lương T10'!E11)*1490000*89.5%)+('Lương T10'!E11*1490000*90.5%)</f>
        <v>2141130</v>
      </c>
      <c r="I18" s="214">
        <f>(1.6-0.5)*1490000*89.5%+(0.5*1490000*90.5%)</f>
        <v>2141130</v>
      </c>
    </row>
    <row r="19" spans="1:10" s="25" customFormat="1" ht="33.75" customHeight="1">
      <c r="A19" s="318" t="s">
        <v>224</v>
      </c>
      <c r="B19" s="318"/>
      <c r="C19" s="318"/>
      <c r="D19" s="150" t="s">
        <v>125</v>
      </c>
      <c r="E19" s="169">
        <v>622</v>
      </c>
      <c r="F19" s="152" t="s">
        <v>141</v>
      </c>
      <c r="G19" s="169">
        <v>13</v>
      </c>
      <c r="H19" s="151">
        <f>('Lương T10'!F27+'BV T10'!E17)*1490000</f>
        <v>6556000.0000000009</v>
      </c>
      <c r="I19" s="214">
        <f>22*0.2*1490000</f>
        <v>6556000.0000000009</v>
      </c>
    </row>
    <row r="20" spans="1:10" s="25" customFormat="1" ht="33.75" customHeight="1">
      <c r="A20" s="326" t="s">
        <v>225</v>
      </c>
      <c r="B20" s="327"/>
      <c r="C20" s="328"/>
      <c r="D20" s="150" t="s">
        <v>126</v>
      </c>
      <c r="E20" s="169">
        <v>622</v>
      </c>
      <c r="F20" s="152" t="s">
        <v>141</v>
      </c>
      <c r="G20" s="169">
        <v>13</v>
      </c>
      <c r="H20" s="151">
        <f>'Lương T10'!J27*1490000</f>
        <v>38464052</v>
      </c>
      <c r="I20" s="214">
        <f>25.8148*1490000</f>
        <v>38464052</v>
      </c>
    </row>
    <row r="21" spans="1:10" s="25" customFormat="1" ht="33.75" customHeight="1">
      <c r="A21" s="326" t="s">
        <v>226</v>
      </c>
      <c r="B21" s="327"/>
      <c r="C21" s="328"/>
      <c r="D21" s="150" t="s">
        <v>195</v>
      </c>
      <c r="E21" s="169">
        <v>622</v>
      </c>
      <c r="F21" s="152" t="s">
        <v>141</v>
      </c>
      <c r="G21" s="169">
        <v>13</v>
      </c>
      <c r="H21" s="151">
        <f>'Lương T10'!G27*1490000</f>
        <v>298000</v>
      </c>
      <c r="I21" s="214">
        <f>0.2*1490000</f>
        <v>298000</v>
      </c>
    </row>
    <row r="22" spans="1:10" s="25" customFormat="1" ht="33.75" customHeight="1">
      <c r="A22" s="326" t="s">
        <v>227</v>
      </c>
      <c r="B22" s="327"/>
      <c r="C22" s="328"/>
      <c r="D22" s="150" t="s">
        <v>196</v>
      </c>
      <c r="E22" s="169">
        <v>622</v>
      </c>
      <c r="F22" s="152" t="s">
        <v>141</v>
      </c>
      <c r="G22" s="169">
        <v>13</v>
      </c>
      <c r="H22" s="151">
        <f>(('Lương T10'!I27+'Lương T10'!H27-'Lương T10'!I11)*1490000*89.5%)+('Lương T10'!I11*1490000*90.5%)</f>
        <v>12315644.199800001</v>
      </c>
      <c r="I22" s="214">
        <f>(8.567876-1.5892+0.6496)*1490000*89.5%+(1.5892*1490000*90.5%)</f>
        <v>12315644.199800001</v>
      </c>
    </row>
    <row r="23" spans="1:10" s="25" customFormat="1" ht="24" customHeight="1">
      <c r="A23" s="319" t="s">
        <v>42</v>
      </c>
      <c r="B23" s="320"/>
      <c r="C23" s="320"/>
      <c r="D23" s="320"/>
      <c r="E23" s="320"/>
      <c r="F23" s="320"/>
      <c r="G23" s="321"/>
      <c r="H23" s="120">
        <f>SUM(H16:H22)</f>
        <v>143195903.19980001</v>
      </c>
      <c r="I23" s="94">
        <f>I16+I17+I18+I19+I20+I21+I22</f>
        <v>143195903.19979998</v>
      </c>
      <c r="J23" s="154">
        <f>'Lương T10'!X27+'BV T10'!S17</f>
        <v>143195903.19980001</v>
      </c>
    </row>
    <row r="24" spans="1:10" s="88" customFormat="1" ht="5.25" customHeight="1">
      <c r="A24" s="95"/>
      <c r="B24" s="95"/>
      <c r="C24" s="95"/>
      <c r="D24" s="95"/>
      <c r="E24" s="95"/>
      <c r="F24" s="95"/>
      <c r="G24" s="95"/>
      <c r="H24" s="96"/>
    </row>
    <row r="25" spans="1:10" s="88" customFormat="1" ht="17.25" customHeight="1">
      <c r="A25" s="322" t="s">
        <v>241</v>
      </c>
      <c r="B25" s="322"/>
      <c r="C25" s="322"/>
      <c r="D25" s="322"/>
      <c r="E25" s="322"/>
      <c r="F25" s="323"/>
      <c r="G25" s="324" t="s">
        <v>23</v>
      </c>
      <c r="H25" s="325"/>
      <c r="I25" s="157"/>
    </row>
    <row r="26" spans="1:10" s="88" customFormat="1" ht="17.25" customHeight="1">
      <c r="A26" s="153" t="s">
        <v>242</v>
      </c>
      <c r="B26" s="101"/>
      <c r="C26" s="102"/>
      <c r="D26" s="102"/>
      <c r="E26" s="121"/>
      <c r="F26" s="122"/>
      <c r="G26" s="99" t="s">
        <v>106</v>
      </c>
      <c r="H26" s="100"/>
      <c r="I26" s="186"/>
    </row>
    <row r="27" spans="1:10" s="88" customFormat="1" ht="19.5" customHeight="1">
      <c r="A27" s="160" t="s">
        <v>38</v>
      </c>
      <c r="B27" s="101"/>
      <c r="C27" s="102"/>
      <c r="D27" s="102"/>
      <c r="E27" s="102"/>
      <c r="F27" s="102"/>
      <c r="G27" s="99" t="s">
        <v>107</v>
      </c>
      <c r="H27" s="100"/>
      <c r="I27" s="157">
        <f>H23-I23</f>
        <v>0</v>
      </c>
    </row>
    <row r="28" spans="1:10" s="88" customFormat="1" ht="15" customHeight="1">
      <c r="A28" s="86" t="s">
        <v>127</v>
      </c>
      <c r="B28" s="148"/>
      <c r="C28" s="148"/>
      <c r="D28" s="148"/>
      <c r="E28" s="103"/>
      <c r="F28" s="103"/>
      <c r="G28" s="99" t="s">
        <v>108</v>
      </c>
      <c r="H28" s="100"/>
    </row>
    <row r="29" spans="1:10" s="88" customFormat="1" ht="15" customHeight="1">
      <c r="A29" s="24" t="s">
        <v>128</v>
      </c>
      <c r="B29" s="148"/>
      <c r="C29" s="148"/>
      <c r="D29" s="101"/>
      <c r="E29" s="101"/>
      <c r="F29" s="104"/>
      <c r="G29" s="99" t="s">
        <v>109</v>
      </c>
      <c r="H29" s="100"/>
    </row>
    <row r="30" spans="1:10" s="88" customFormat="1" ht="15" customHeight="1">
      <c r="A30" s="86" t="s">
        <v>129</v>
      </c>
      <c r="B30" s="26"/>
      <c r="C30" s="26"/>
      <c r="D30" s="26"/>
      <c r="E30" s="101"/>
      <c r="F30" s="102"/>
      <c r="G30" s="309" t="s">
        <v>108</v>
      </c>
      <c r="H30" s="310"/>
    </row>
    <row r="31" spans="1:10" s="88" customFormat="1" ht="15" customHeight="1">
      <c r="A31" s="104" t="s">
        <v>110</v>
      </c>
      <c r="B31" s="104"/>
      <c r="C31" s="104"/>
      <c r="D31" s="104"/>
      <c r="E31" s="104"/>
      <c r="F31" s="104"/>
      <c r="G31" s="309" t="s">
        <v>109</v>
      </c>
      <c r="H31" s="310"/>
    </row>
    <row r="32" spans="1:10" s="88" customFormat="1" ht="15" customHeight="1">
      <c r="A32" s="104" t="s">
        <v>111</v>
      </c>
      <c r="B32" s="104"/>
      <c r="C32" s="104"/>
      <c r="D32" s="104"/>
      <c r="E32" s="104"/>
      <c r="F32" s="104"/>
      <c r="G32" s="105" t="s">
        <v>112</v>
      </c>
      <c r="H32" s="106"/>
    </row>
    <row r="33" spans="1:11" s="88" customFormat="1" ht="15" customHeight="1">
      <c r="A33" s="331"/>
      <c r="B33" s="331"/>
      <c r="C33" s="331"/>
      <c r="D33" s="331"/>
      <c r="E33" s="331"/>
      <c r="F33" s="331"/>
      <c r="G33" s="331"/>
      <c r="H33" s="331"/>
    </row>
    <row r="34" spans="1:11" s="88" customFormat="1" ht="2.25" customHeight="1">
      <c r="A34" s="107"/>
      <c r="B34" s="107"/>
      <c r="C34" s="107"/>
      <c r="D34" s="107"/>
      <c r="E34" s="107"/>
      <c r="F34" s="107"/>
      <c r="G34" s="107"/>
      <c r="H34" s="107"/>
    </row>
    <row r="35" spans="1:11" s="88" customFormat="1" ht="15.75" customHeight="1">
      <c r="A35" s="329" t="s">
        <v>24</v>
      </c>
      <c r="B35" s="329"/>
      <c r="C35" s="329"/>
      <c r="D35" s="329"/>
      <c r="E35" s="329" t="s">
        <v>25</v>
      </c>
      <c r="F35" s="329"/>
      <c r="G35" s="329"/>
      <c r="H35" s="329"/>
    </row>
    <row r="36" spans="1:11" s="88" customFormat="1" ht="15">
      <c r="A36" s="332" t="s">
        <v>235</v>
      </c>
      <c r="B36" s="332"/>
      <c r="C36" s="332"/>
      <c r="D36" s="332"/>
      <c r="E36" s="332" t="s">
        <v>234</v>
      </c>
      <c r="F36" s="332"/>
      <c r="G36" s="332"/>
      <c r="H36" s="332"/>
    </row>
    <row r="37" spans="1:11" s="88" customFormat="1" ht="15" customHeight="1">
      <c r="A37" s="329" t="s">
        <v>113</v>
      </c>
      <c r="B37" s="329"/>
      <c r="C37" s="329" t="s">
        <v>114</v>
      </c>
      <c r="D37" s="329"/>
      <c r="E37" s="329" t="s">
        <v>26</v>
      </c>
      <c r="F37" s="329"/>
      <c r="G37" s="329" t="s">
        <v>45</v>
      </c>
      <c r="H37" s="329"/>
    </row>
    <row r="38" spans="1:11" s="88" customFormat="1" ht="12.95" customHeight="1">
      <c r="A38" s="107"/>
      <c r="B38" s="107"/>
      <c r="C38" s="107"/>
      <c r="D38" s="107"/>
      <c r="E38" s="330" t="s">
        <v>115</v>
      </c>
      <c r="F38" s="330"/>
      <c r="G38" s="330" t="s">
        <v>116</v>
      </c>
      <c r="H38" s="330"/>
    </row>
    <row r="39" spans="1:11" s="88" customFormat="1" ht="15">
      <c r="A39" s="107"/>
      <c r="B39" s="107"/>
      <c r="C39" s="107"/>
      <c r="D39" s="107"/>
      <c r="E39" s="107"/>
      <c r="F39" s="107"/>
      <c r="G39" s="107"/>
      <c r="H39" s="107"/>
    </row>
    <row r="40" spans="1:11" s="88" customFormat="1" ht="15">
      <c r="A40" s="107"/>
      <c r="B40" s="107"/>
      <c r="C40" s="107"/>
      <c r="D40" s="107"/>
      <c r="E40" s="107"/>
      <c r="F40" s="107"/>
      <c r="G40" s="107"/>
      <c r="H40" s="107"/>
    </row>
    <row r="41" spans="1:11" s="88" customFormat="1" ht="15">
      <c r="A41" s="107"/>
      <c r="B41" s="107"/>
      <c r="C41" s="107"/>
      <c r="D41" s="107"/>
      <c r="E41" s="107"/>
      <c r="F41" s="107"/>
      <c r="G41" s="107"/>
      <c r="H41" s="107"/>
    </row>
    <row r="42" spans="1:11" s="88" customFormat="1" ht="15">
      <c r="A42" s="107"/>
      <c r="B42" s="107"/>
      <c r="C42" s="107"/>
      <c r="D42" s="107"/>
      <c r="E42" s="333" t="s">
        <v>8</v>
      </c>
      <c r="F42" s="333"/>
      <c r="G42" s="108"/>
      <c r="H42" s="107"/>
    </row>
    <row r="43" spans="1:11" s="88" customFormat="1" ht="16.5" customHeight="1">
      <c r="A43" s="334" t="s">
        <v>117</v>
      </c>
      <c r="B43" s="335"/>
      <c r="C43" s="334" t="s">
        <v>118</v>
      </c>
      <c r="D43" s="336"/>
      <c r="E43" s="335"/>
      <c r="F43" s="334" t="s">
        <v>119</v>
      </c>
      <c r="G43" s="336"/>
      <c r="H43" s="335"/>
    </row>
    <row r="44" spans="1:11" s="88" customFormat="1">
      <c r="A44" s="337" t="s">
        <v>215</v>
      </c>
      <c r="B44" s="338"/>
      <c r="C44" s="339" t="s">
        <v>120</v>
      </c>
      <c r="D44" s="340"/>
      <c r="E44" s="340"/>
      <c r="F44" s="339" t="s">
        <v>121</v>
      </c>
      <c r="G44" s="340"/>
      <c r="H44" s="340"/>
      <c r="I44" s="109"/>
    </row>
    <row r="45" spans="1:11" s="88" customFormat="1">
      <c r="A45" s="341" t="s">
        <v>122</v>
      </c>
      <c r="B45" s="342"/>
      <c r="C45" s="110" t="s">
        <v>123</v>
      </c>
      <c r="D45" s="111"/>
      <c r="E45" s="111"/>
      <c r="F45" s="110" t="s">
        <v>124</v>
      </c>
      <c r="G45" s="111"/>
      <c r="H45" s="112"/>
    </row>
    <row r="46" spans="1:11" s="88" customFormat="1">
      <c r="A46" s="109"/>
      <c r="B46" s="113"/>
      <c r="C46" s="109"/>
      <c r="D46" s="114"/>
      <c r="E46" s="113"/>
      <c r="F46" s="109"/>
      <c r="G46" s="114"/>
      <c r="H46" s="113"/>
    </row>
    <row r="47" spans="1:11" s="88" customFormat="1">
      <c r="A47" s="109"/>
      <c r="B47" s="113"/>
      <c r="C47" s="109"/>
      <c r="D47" s="114"/>
      <c r="E47" s="113"/>
      <c r="F47" s="109"/>
      <c r="G47" s="114"/>
      <c r="H47" s="113"/>
    </row>
    <row r="48" spans="1:11">
      <c r="A48" s="115"/>
      <c r="B48" s="115"/>
      <c r="C48" s="115"/>
      <c r="D48" s="115"/>
      <c r="E48" s="115"/>
      <c r="F48" s="115"/>
      <c r="G48" s="115"/>
      <c r="H48" s="115"/>
      <c r="I48" s="116"/>
      <c r="J48" s="116"/>
      <c r="K48" s="116"/>
    </row>
    <row r="49" spans="1:11">
      <c r="A49" s="115"/>
      <c r="B49" s="115"/>
      <c r="C49" s="115"/>
      <c r="D49" s="115"/>
      <c r="E49" s="115"/>
      <c r="F49" s="115"/>
      <c r="G49" s="115"/>
      <c r="H49" s="115"/>
      <c r="I49" s="116"/>
      <c r="J49" s="116"/>
      <c r="K49" s="116"/>
    </row>
    <row r="50" spans="1:11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11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1:11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</row>
    <row r="53" spans="1:11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</row>
    <row r="54" spans="1:11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</row>
    <row r="55" spans="1:11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</row>
    <row r="56" spans="1:11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</row>
    <row r="57" spans="1:11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</row>
    <row r="58" spans="1:11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</row>
    <row r="59" spans="1:11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</row>
    <row r="60" spans="1:11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</row>
    <row r="61" spans="1:11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1:11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</row>
    <row r="63" spans="1:11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</row>
    <row r="64" spans="1:11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</row>
    <row r="65" spans="1:11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1:11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1:11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1:11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</row>
    <row r="69" spans="1:1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</row>
    <row r="70" spans="1:11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</row>
    <row r="71" spans="1:1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</row>
    <row r="72" spans="1:11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</row>
    <row r="73" spans="1:11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</row>
    <row r="74" spans="1:11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</row>
    <row r="76" spans="1:11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</row>
    <row r="77" spans="1:11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</row>
    <row r="78" spans="1:1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</row>
    <row r="79" spans="1:1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</row>
    <row r="80" spans="1:11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</row>
    <row r="81" spans="1:11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</row>
    <row r="82" spans="1:11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</row>
    <row r="83" spans="1:11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</row>
    <row r="84" spans="1:11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</row>
    <row r="85" spans="1:11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</row>
    <row r="86" spans="1:11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</row>
    <row r="87" spans="1:11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</row>
    <row r="88" spans="1:1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</row>
    <row r="89" spans="1:11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</row>
    <row r="90" spans="1:11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</row>
    <row r="91" spans="1:11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</row>
    <row r="92" spans="1:11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</row>
    <row r="93" spans="1:11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</row>
    <row r="94" spans="1:11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</row>
    <row r="95" spans="1:11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</row>
    <row r="96" spans="1:11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</row>
    <row r="97" spans="1:11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</row>
    <row r="98" spans="1:11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</row>
    <row r="99" spans="1:11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</row>
    <row r="100" spans="1:11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</row>
    <row r="101" spans="1:11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</row>
    <row r="102" spans="1:11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</row>
    <row r="103" spans="1:11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</row>
    <row r="104" spans="1:11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</row>
    <row r="105" spans="1:11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</row>
    <row r="106" spans="1:11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</row>
    <row r="107" spans="1:11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</row>
    <row r="108" spans="1:11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</row>
    <row r="109" spans="1:11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</row>
    <row r="110" spans="1:11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</row>
    <row r="111" spans="1:11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</row>
    <row r="112" spans="1:11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</row>
    <row r="113" spans="1:11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</row>
    <row r="114" spans="1:11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</row>
    <row r="115" spans="1:11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</row>
    <row r="116" spans="1:11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</row>
    <row r="117" spans="1:11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</row>
    <row r="118" spans="1:11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</row>
    <row r="119" spans="1:11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</row>
    <row r="120" spans="1:11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</row>
    <row r="121" spans="1:11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</row>
    <row r="122" spans="1:11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</row>
    <row r="123" spans="1:11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</row>
    <row r="124" spans="1:11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</row>
    <row r="125" spans="1:11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</row>
    <row r="126" spans="1:11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</row>
    <row r="127" spans="1:11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</row>
    <row r="128" spans="1:11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</row>
    <row r="129" spans="1:11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</row>
    <row r="130" spans="1:11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</row>
    <row r="131" spans="1:11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</row>
  </sheetData>
  <mergeCells count="44">
    <mergeCell ref="A22:C22"/>
    <mergeCell ref="A45:B45"/>
    <mergeCell ref="A19:C19"/>
    <mergeCell ref="A37:B37"/>
    <mergeCell ref="C37:D37"/>
    <mergeCell ref="E42:F42"/>
    <mergeCell ref="A43:B43"/>
    <mergeCell ref="C43:E43"/>
    <mergeCell ref="F43:H43"/>
    <mergeCell ref="A44:B44"/>
    <mergeCell ref="C44:E44"/>
    <mergeCell ref="F44:H44"/>
    <mergeCell ref="E37:F37"/>
    <mergeCell ref="G37:H37"/>
    <mergeCell ref="E38:F38"/>
    <mergeCell ref="G38:H38"/>
    <mergeCell ref="G31:H31"/>
    <mergeCell ref="A33:H33"/>
    <mergeCell ref="A35:D35"/>
    <mergeCell ref="E35:H35"/>
    <mergeCell ref="A36:D36"/>
    <mergeCell ref="E36:H36"/>
    <mergeCell ref="G30:H30"/>
    <mergeCell ref="A13:C14"/>
    <mergeCell ref="D13:D14"/>
    <mergeCell ref="E13:E14"/>
    <mergeCell ref="F13:F14"/>
    <mergeCell ref="G13:G14"/>
    <mergeCell ref="H13:H14"/>
    <mergeCell ref="A15:C15"/>
    <mergeCell ref="A16:C16"/>
    <mergeCell ref="A23:G23"/>
    <mergeCell ref="A25:F25"/>
    <mergeCell ref="G25:H25"/>
    <mergeCell ref="A17:C17"/>
    <mergeCell ref="A18:C18"/>
    <mergeCell ref="A20:C20"/>
    <mergeCell ref="A21:C21"/>
    <mergeCell ref="G4:H4"/>
    <mergeCell ref="A1:A2"/>
    <mergeCell ref="G1:H1"/>
    <mergeCell ref="C2:F2"/>
    <mergeCell ref="G2:H2"/>
    <mergeCell ref="G3:H3"/>
  </mergeCells>
  <pageMargins left="0" right="0" top="0.5" bottom="0.25" header="0.3" footer="0.3"/>
  <pageSetup paperSize="9" scale="8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32"/>
  <sheetViews>
    <sheetView topLeftCell="A22" workbookViewId="0">
      <selection activeCell="A28" sqref="A28"/>
    </sheetView>
  </sheetViews>
  <sheetFormatPr defaultRowHeight="12.75"/>
  <cols>
    <col min="1" max="1" width="23.5703125" customWidth="1"/>
    <col min="2" max="2" width="6" customWidth="1"/>
    <col min="3" max="3" width="19.85546875" customWidth="1"/>
    <col min="4" max="4" width="14.5703125" customWidth="1"/>
    <col min="5" max="5" width="12.28515625" customWidth="1"/>
    <col min="6" max="6" width="14" customWidth="1"/>
    <col min="7" max="7" width="14.42578125" customWidth="1"/>
    <col min="8" max="8" width="22.42578125" customWidth="1"/>
    <col min="9" max="9" width="16.5703125" bestFit="1" customWidth="1"/>
    <col min="10" max="10" width="15.85546875" bestFit="1" customWidth="1"/>
    <col min="257" max="257" width="23.5703125" customWidth="1"/>
    <col min="258" max="258" width="6" customWidth="1"/>
    <col min="259" max="259" width="16.5703125" customWidth="1"/>
    <col min="260" max="260" width="16.42578125" customWidth="1"/>
    <col min="261" max="261" width="14.7109375" customWidth="1"/>
    <col min="262" max="262" width="15.42578125" customWidth="1"/>
    <col min="263" max="263" width="14.42578125" customWidth="1"/>
    <col min="264" max="264" width="22.42578125" customWidth="1"/>
    <col min="265" max="265" width="16.5703125" bestFit="1" customWidth="1"/>
    <col min="266" max="266" width="15.85546875" bestFit="1" customWidth="1"/>
    <col min="513" max="513" width="23.5703125" customWidth="1"/>
    <col min="514" max="514" width="6" customWidth="1"/>
    <col min="515" max="515" width="16.5703125" customWidth="1"/>
    <col min="516" max="516" width="16.42578125" customWidth="1"/>
    <col min="517" max="517" width="14.7109375" customWidth="1"/>
    <col min="518" max="518" width="15.42578125" customWidth="1"/>
    <col min="519" max="519" width="14.42578125" customWidth="1"/>
    <col min="520" max="520" width="22.42578125" customWidth="1"/>
    <col min="521" max="521" width="16.5703125" bestFit="1" customWidth="1"/>
    <col min="522" max="522" width="15.85546875" bestFit="1" customWidth="1"/>
    <col min="769" max="769" width="23.5703125" customWidth="1"/>
    <col min="770" max="770" width="6" customWidth="1"/>
    <col min="771" max="771" width="16.5703125" customWidth="1"/>
    <col min="772" max="772" width="16.42578125" customWidth="1"/>
    <col min="773" max="773" width="14.7109375" customWidth="1"/>
    <col min="774" max="774" width="15.42578125" customWidth="1"/>
    <col min="775" max="775" width="14.42578125" customWidth="1"/>
    <col min="776" max="776" width="22.42578125" customWidth="1"/>
    <col min="777" max="777" width="16.5703125" bestFit="1" customWidth="1"/>
    <col min="778" max="778" width="15.85546875" bestFit="1" customWidth="1"/>
    <col min="1025" max="1025" width="23.5703125" customWidth="1"/>
    <col min="1026" max="1026" width="6" customWidth="1"/>
    <col min="1027" max="1027" width="16.5703125" customWidth="1"/>
    <col min="1028" max="1028" width="16.42578125" customWidth="1"/>
    <col min="1029" max="1029" width="14.7109375" customWidth="1"/>
    <col min="1030" max="1030" width="15.42578125" customWidth="1"/>
    <col min="1031" max="1031" width="14.42578125" customWidth="1"/>
    <col min="1032" max="1032" width="22.42578125" customWidth="1"/>
    <col min="1033" max="1033" width="16.5703125" bestFit="1" customWidth="1"/>
    <col min="1034" max="1034" width="15.85546875" bestFit="1" customWidth="1"/>
    <col min="1281" max="1281" width="23.5703125" customWidth="1"/>
    <col min="1282" max="1282" width="6" customWidth="1"/>
    <col min="1283" max="1283" width="16.5703125" customWidth="1"/>
    <col min="1284" max="1284" width="16.42578125" customWidth="1"/>
    <col min="1285" max="1285" width="14.7109375" customWidth="1"/>
    <col min="1286" max="1286" width="15.42578125" customWidth="1"/>
    <col min="1287" max="1287" width="14.42578125" customWidth="1"/>
    <col min="1288" max="1288" width="22.42578125" customWidth="1"/>
    <col min="1289" max="1289" width="16.5703125" bestFit="1" customWidth="1"/>
    <col min="1290" max="1290" width="15.85546875" bestFit="1" customWidth="1"/>
    <col min="1537" max="1537" width="23.5703125" customWidth="1"/>
    <col min="1538" max="1538" width="6" customWidth="1"/>
    <col min="1539" max="1539" width="16.5703125" customWidth="1"/>
    <col min="1540" max="1540" width="16.42578125" customWidth="1"/>
    <col min="1541" max="1541" width="14.7109375" customWidth="1"/>
    <col min="1542" max="1542" width="15.42578125" customWidth="1"/>
    <col min="1543" max="1543" width="14.42578125" customWidth="1"/>
    <col min="1544" max="1544" width="22.42578125" customWidth="1"/>
    <col min="1545" max="1545" width="16.5703125" bestFit="1" customWidth="1"/>
    <col min="1546" max="1546" width="15.85546875" bestFit="1" customWidth="1"/>
    <col min="1793" max="1793" width="23.5703125" customWidth="1"/>
    <col min="1794" max="1794" width="6" customWidth="1"/>
    <col min="1795" max="1795" width="16.5703125" customWidth="1"/>
    <col min="1796" max="1796" width="16.42578125" customWidth="1"/>
    <col min="1797" max="1797" width="14.7109375" customWidth="1"/>
    <col min="1798" max="1798" width="15.42578125" customWidth="1"/>
    <col min="1799" max="1799" width="14.42578125" customWidth="1"/>
    <col min="1800" max="1800" width="22.42578125" customWidth="1"/>
    <col min="1801" max="1801" width="16.5703125" bestFit="1" customWidth="1"/>
    <col min="1802" max="1802" width="15.85546875" bestFit="1" customWidth="1"/>
    <col min="2049" max="2049" width="23.5703125" customWidth="1"/>
    <col min="2050" max="2050" width="6" customWidth="1"/>
    <col min="2051" max="2051" width="16.5703125" customWidth="1"/>
    <col min="2052" max="2052" width="16.42578125" customWidth="1"/>
    <col min="2053" max="2053" width="14.7109375" customWidth="1"/>
    <col min="2054" max="2054" width="15.42578125" customWidth="1"/>
    <col min="2055" max="2055" width="14.42578125" customWidth="1"/>
    <col min="2056" max="2056" width="22.42578125" customWidth="1"/>
    <col min="2057" max="2057" width="16.5703125" bestFit="1" customWidth="1"/>
    <col min="2058" max="2058" width="15.85546875" bestFit="1" customWidth="1"/>
    <col min="2305" max="2305" width="23.5703125" customWidth="1"/>
    <col min="2306" max="2306" width="6" customWidth="1"/>
    <col min="2307" max="2307" width="16.5703125" customWidth="1"/>
    <col min="2308" max="2308" width="16.42578125" customWidth="1"/>
    <col min="2309" max="2309" width="14.7109375" customWidth="1"/>
    <col min="2310" max="2310" width="15.42578125" customWidth="1"/>
    <col min="2311" max="2311" width="14.42578125" customWidth="1"/>
    <col min="2312" max="2312" width="22.42578125" customWidth="1"/>
    <col min="2313" max="2313" width="16.5703125" bestFit="1" customWidth="1"/>
    <col min="2314" max="2314" width="15.85546875" bestFit="1" customWidth="1"/>
    <col min="2561" max="2561" width="23.5703125" customWidth="1"/>
    <col min="2562" max="2562" width="6" customWidth="1"/>
    <col min="2563" max="2563" width="16.5703125" customWidth="1"/>
    <col min="2564" max="2564" width="16.42578125" customWidth="1"/>
    <col min="2565" max="2565" width="14.7109375" customWidth="1"/>
    <col min="2566" max="2566" width="15.42578125" customWidth="1"/>
    <col min="2567" max="2567" width="14.42578125" customWidth="1"/>
    <col min="2568" max="2568" width="22.42578125" customWidth="1"/>
    <col min="2569" max="2569" width="16.5703125" bestFit="1" customWidth="1"/>
    <col min="2570" max="2570" width="15.85546875" bestFit="1" customWidth="1"/>
    <col min="2817" max="2817" width="23.5703125" customWidth="1"/>
    <col min="2818" max="2818" width="6" customWidth="1"/>
    <col min="2819" max="2819" width="16.5703125" customWidth="1"/>
    <col min="2820" max="2820" width="16.42578125" customWidth="1"/>
    <col min="2821" max="2821" width="14.7109375" customWidth="1"/>
    <col min="2822" max="2822" width="15.42578125" customWidth="1"/>
    <col min="2823" max="2823" width="14.42578125" customWidth="1"/>
    <col min="2824" max="2824" width="22.42578125" customWidth="1"/>
    <col min="2825" max="2825" width="16.5703125" bestFit="1" customWidth="1"/>
    <col min="2826" max="2826" width="15.85546875" bestFit="1" customWidth="1"/>
    <col min="3073" max="3073" width="23.5703125" customWidth="1"/>
    <col min="3074" max="3074" width="6" customWidth="1"/>
    <col min="3075" max="3075" width="16.5703125" customWidth="1"/>
    <col min="3076" max="3076" width="16.42578125" customWidth="1"/>
    <col min="3077" max="3077" width="14.7109375" customWidth="1"/>
    <col min="3078" max="3078" width="15.42578125" customWidth="1"/>
    <col min="3079" max="3079" width="14.42578125" customWidth="1"/>
    <col min="3080" max="3080" width="22.42578125" customWidth="1"/>
    <col min="3081" max="3081" width="16.5703125" bestFit="1" customWidth="1"/>
    <col min="3082" max="3082" width="15.85546875" bestFit="1" customWidth="1"/>
    <col min="3329" max="3329" width="23.5703125" customWidth="1"/>
    <col min="3330" max="3330" width="6" customWidth="1"/>
    <col min="3331" max="3331" width="16.5703125" customWidth="1"/>
    <col min="3332" max="3332" width="16.42578125" customWidth="1"/>
    <col min="3333" max="3333" width="14.7109375" customWidth="1"/>
    <col min="3334" max="3334" width="15.42578125" customWidth="1"/>
    <col min="3335" max="3335" width="14.42578125" customWidth="1"/>
    <col min="3336" max="3336" width="22.42578125" customWidth="1"/>
    <col min="3337" max="3337" width="16.5703125" bestFit="1" customWidth="1"/>
    <col min="3338" max="3338" width="15.85546875" bestFit="1" customWidth="1"/>
    <col min="3585" max="3585" width="23.5703125" customWidth="1"/>
    <col min="3586" max="3586" width="6" customWidth="1"/>
    <col min="3587" max="3587" width="16.5703125" customWidth="1"/>
    <col min="3588" max="3588" width="16.42578125" customWidth="1"/>
    <col min="3589" max="3589" width="14.7109375" customWidth="1"/>
    <col min="3590" max="3590" width="15.42578125" customWidth="1"/>
    <col min="3591" max="3591" width="14.42578125" customWidth="1"/>
    <col min="3592" max="3592" width="22.42578125" customWidth="1"/>
    <col min="3593" max="3593" width="16.5703125" bestFit="1" customWidth="1"/>
    <col min="3594" max="3594" width="15.85546875" bestFit="1" customWidth="1"/>
    <col min="3841" max="3841" width="23.5703125" customWidth="1"/>
    <col min="3842" max="3842" width="6" customWidth="1"/>
    <col min="3843" max="3843" width="16.5703125" customWidth="1"/>
    <col min="3844" max="3844" width="16.42578125" customWidth="1"/>
    <col min="3845" max="3845" width="14.7109375" customWidth="1"/>
    <col min="3846" max="3846" width="15.42578125" customWidth="1"/>
    <col min="3847" max="3847" width="14.42578125" customWidth="1"/>
    <col min="3848" max="3848" width="22.42578125" customWidth="1"/>
    <col min="3849" max="3849" width="16.5703125" bestFit="1" customWidth="1"/>
    <col min="3850" max="3850" width="15.85546875" bestFit="1" customWidth="1"/>
    <col min="4097" max="4097" width="23.5703125" customWidth="1"/>
    <col min="4098" max="4098" width="6" customWidth="1"/>
    <col min="4099" max="4099" width="16.5703125" customWidth="1"/>
    <col min="4100" max="4100" width="16.42578125" customWidth="1"/>
    <col min="4101" max="4101" width="14.7109375" customWidth="1"/>
    <col min="4102" max="4102" width="15.42578125" customWidth="1"/>
    <col min="4103" max="4103" width="14.42578125" customWidth="1"/>
    <col min="4104" max="4104" width="22.42578125" customWidth="1"/>
    <col min="4105" max="4105" width="16.5703125" bestFit="1" customWidth="1"/>
    <col min="4106" max="4106" width="15.85546875" bestFit="1" customWidth="1"/>
    <col min="4353" max="4353" width="23.5703125" customWidth="1"/>
    <col min="4354" max="4354" width="6" customWidth="1"/>
    <col min="4355" max="4355" width="16.5703125" customWidth="1"/>
    <col min="4356" max="4356" width="16.42578125" customWidth="1"/>
    <col min="4357" max="4357" width="14.7109375" customWidth="1"/>
    <col min="4358" max="4358" width="15.42578125" customWidth="1"/>
    <col min="4359" max="4359" width="14.42578125" customWidth="1"/>
    <col min="4360" max="4360" width="22.42578125" customWidth="1"/>
    <col min="4361" max="4361" width="16.5703125" bestFit="1" customWidth="1"/>
    <col min="4362" max="4362" width="15.85546875" bestFit="1" customWidth="1"/>
    <col min="4609" max="4609" width="23.5703125" customWidth="1"/>
    <col min="4610" max="4610" width="6" customWidth="1"/>
    <col min="4611" max="4611" width="16.5703125" customWidth="1"/>
    <col min="4612" max="4612" width="16.42578125" customWidth="1"/>
    <col min="4613" max="4613" width="14.7109375" customWidth="1"/>
    <col min="4614" max="4614" width="15.42578125" customWidth="1"/>
    <col min="4615" max="4615" width="14.42578125" customWidth="1"/>
    <col min="4616" max="4616" width="22.42578125" customWidth="1"/>
    <col min="4617" max="4617" width="16.5703125" bestFit="1" customWidth="1"/>
    <col min="4618" max="4618" width="15.85546875" bestFit="1" customWidth="1"/>
    <col min="4865" max="4865" width="23.5703125" customWidth="1"/>
    <col min="4866" max="4866" width="6" customWidth="1"/>
    <col min="4867" max="4867" width="16.5703125" customWidth="1"/>
    <col min="4868" max="4868" width="16.42578125" customWidth="1"/>
    <col min="4869" max="4869" width="14.7109375" customWidth="1"/>
    <col min="4870" max="4870" width="15.42578125" customWidth="1"/>
    <col min="4871" max="4871" width="14.42578125" customWidth="1"/>
    <col min="4872" max="4872" width="22.42578125" customWidth="1"/>
    <col min="4873" max="4873" width="16.5703125" bestFit="1" customWidth="1"/>
    <col min="4874" max="4874" width="15.85546875" bestFit="1" customWidth="1"/>
    <col min="5121" max="5121" width="23.5703125" customWidth="1"/>
    <col min="5122" max="5122" width="6" customWidth="1"/>
    <col min="5123" max="5123" width="16.5703125" customWidth="1"/>
    <col min="5124" max="5124" width="16.42578125" customWidth="1"/>
    <col min="5125" max="5125" width="14.7109375" customWidth="1"/>
    <col min="5126" max="5126" width="15.42578125" customWidth="1"/>
    <col min="5127" max="5127" width="14.42578125" customWidth="1"/>
    <col min="5128" max="5128" width="22.42578125" customWidth="1"/>
    <col min="5129" max="5129" width="16.5703125" bestFit="1" customWidth="1"/>
    <col min="5130" max="5130" width="15.85546875" bestFit="1" customWidth="1"/>
    <col min="5377" max="5377" width="23.5703125" customWidth="1"/>
    <col min="5378" max="5378" width="6" customWidth="1"/>
    <col min="5379" max="5379" width="16.5703125" customWidth="1"/>
    <col min="5380" max="5380" width="16.42578125" customWidth="1"/>
    <col min="5381" max="5381" width="14.7109375" customWidth="1"/>
    <col min="5382" max="5382" width="15.42578125" customWidth="1"/>
    <col min="5383" max="5383" width="14.42578125" customWidth="1"/>
    <col min="5384" max="5384" width="22.42578125" customWidth="1"/>
    <col min="5385" max="5385" width="16.5703125" bestFit="1" customWidth="1"/>
    <col min="5386" max="5386" width="15.85546875" bestFit="1" customWidth="1"/>
    <col min="5633" max="5633" width="23.5703125" customWidth="1"/>
    <col min="5634" max="5634" width="6" customWidth="1"/>
    <col min="5635" max="5635" width="16.5703125" customWidth="1"/>
    <col min="5636" max="5636" width="16.42578125" customWidth="1"/>
    <col min="5637" max="5637" width="14.7109375" customWidth="1"/>
    <col min="5638" max="5638" width="15.42578125" customWidth="1"/>
    <col min="5639" max="5639" width="14.42578125" customWidth="1"/>
    <col min="5640" max="5640" width="22.42578125" customWidth="1"/>
    <col min="5641" max="5641" width="16.5703125" bestFit="1" customWidth="1"/>
    <col min="5642" max="5642" width="15.85546875" bestFit="1" customWidth="1"/>
    <col min="5889" max="5889" width="23.5703125" customWidth="1"/>
    <col min="5890" max="5890" width="6" customWidth="1"/>
    <col min="5891" max="5891" width="16.5703125" customWidth="1"/>
    <col min="5892" max="5892" width="16.42578125" customWidth="1"/>
    <col min="5893" max="5893" width="14.7109375" customWidth="1"/>
    <col min="5894" max="5894" width="15.42578125" customWidth="1"/>
    <col min="5895" max="5895" width="14.42578125" customWidth="1"/>
    <col min="5896" max="5896" width="22.42578125" customWidth="1"/>
    <col min="5897" max="5897" width="16.5703125" bestFit="1" customWidth="1"/>
    <col min="5898" max="5898" width="15.85546875" bestFit="1" customWidth="1"/>
    <col min="6145" max="6145" width="23.5703125" customWidth="1"/>
    <col min="6146" max="6146" width="6" customWidth="1"/>
    <col min="6147" max="6147" width="16.5703125" customWidth="1"/>
    <col min="6148" max="6148" width="16.42578125" customWidth="1"/>
    <col min="6149" max="6149" width="14.7109375" customWidth="1"/>
    <col min="6150" max="6150" width="15.42578125" customWidth="1"/>
    <col min="6151" max="6151" width="14.42578125" customWidth="1"/>
    <col min="6152" max="6152" width="22.42578125" customWidth="1"/>
    <col min="6153" max="6153" width="16.5703125" bestFit="1" customWidth="1"/>
    <col min="6154" max="6154" width="15.85546875" bestFit="1" customWidth="1"/>
    <col min="6401" max="6401" width="23.5703125" customWidth="1"/>
    <col min="6402" max="6402" width="6" customWidth="1"/>
    <col min="6403" max="6403" width="16.5703125" customWidth="1"/>
    <col min="6404" max="6404" width="16.42578125" customWidth="1"/>
    <col min="6405" max="6405" width="14.7109375" customWidth="1"/>
    <col min="6406" max="6406" width="15.42578125" customWidth="1"/>
    <col min="6407" max="6407" width="14.42578125" customWidth="1"/>
    <col min="6408" max="6408" width="22.42578125" customWidth="1"/>
    <col min="6409" max="6409" width="16.5703125" bestFit="1" customWidth="1"/>
    <col min="6410" max="6410" width="15.85546875" bestFit="1" customWidth="1"/>
    <col min="6657" max="6657" width="23.5703125" customWidth="1"/>
    <col min="6658" max="6658" width="6" customWidth="1"/>
    <col min="6659" max="6659" width="16.5703125" customWidth="1"/>
    <col min="6660" max="6660" width="16.42578125" customWidth="1"/>
    <col min="6661" max="6661" width="14.7109375" customWidth="1"/>
    <col min="6662" max="6662" width="15.42578125" customWidth="1"/>
    <col min="6663" max="6663" width="14.42578125" customWidth="1"/>
    <col min="6664" max="6664" width="22.42578125" customWidth="1"/>
    <col min="6665" max="6665" width="16.5703125" bestFit="1" customWidth="1"/>
    <col min="6666" max="6666" width="15.85546875" bestFit="1" customWidth="1"/>
    <col min="6913" max="6913" width="23.5703125" customWidth="1"/>
    <col min="6914" max="6914" width="6" customWidth="1"/>
    <col min="6915" max="6915" width="16.5703125" customWidth="1"/>
    <col min="6916" max="6916" width="16.42578125" customWidth="1"/>
    <col min="6917" max="6917" width="14.7109375" customWidth="1"/>
    <col min="6918" max="6918" width="15.42578125" customWidth="1"/>
    <col min="6919" max="6919" width="14.42578125" customWidth="1"/>
    <col min="6920" max="6920" width="22.42578125" customWidth="1"/>
    <col min="6921" max="6921" width="16.5703125" bestFit="1" customWidth="1"/>
    <col min="6922" max="6922" width="15.85546875" bestFit="1" customWidth="1"/>
    <col min="7169" max="7169" width="23.5703125" customWidth="1"/>
    <col min="7170" max="7170" width="6" customWidth="1"/>
    <col min="7171" max="7171" width="16.5703125" customWidth="1"/>
    <col min="7172" max="7172" width="16.42578125" customWidth="1"/>
    <col min="7173" max="7173" width="14.7109375" customWidth="1"/>
    <col min="7174" max="7174" width="15.42578125" customWidth="1"/>
    <col min="7175" max="7175" width="14.42578125" customWidth="1"/>
    <col min="7176" max="7176" width="22.42578125" customWidth="1"/>
    <col min="7177" max="7177" width="16.5703125" bestFit="1" customWidth="1"/>
    <col min="7178" max="7178" width="15.85546875" bestFit="1" customWidth="1"/>
    <col min="7425" max="7425" width="23.5703125" customWidth="1"/>
    <col min="7426" max="7426" width="6" customWidth="1"/>
    <col min="7427" max="7427" width="16.5703125" customWidth="1"/>
    <col min="7428" max="7428" width="16.42578125" customWidth="1"/>
    <col min="7429" max="7429" width="14.7109375" customWidth="1"/>
    <col min="7430" max="7430" width="15.42578125" customWidth="1"/>
    <col min="7431" max="7431" width="14.42578125" customWidth="1"/>
    <col min="7432" max="7432" width="22.42578125" customWidth="1"/>
    <col min="7433" max="7433" width="16.5703125" bestFit="1" customWidth="1"/>
    <col min="7434" max="7434" width="15.85546875" bestFit="1" customWidth="1"/>
    <col min="7681" max="7681" width="23.5703125" customWidth="1"/>
    <col min="7682" max="7682" width="6" customWidth="1"/>
    <col min="7683" max="7683" width="16.5703125" customWidth="1"/>
    <col min="7684" max="7684" width="16.42578125" customWidth="1"/>
    <col min="7685" max="7685" width="14.7109375" customWidth="1"/>
    <col min="7686" max="7686" width="15.42578125" customWidth="1"/>
    <col min="7687" max="7687" width="14.42578125" customWidth="1"/>
    <col min="7688" max="7688" width="22.42578125" customWidth="1"/>
    <col min="7689" max="7689" width="16.5703125" bestFit="1" customWidth="1"/>
    <col min="7690" max="7690" width="15.85546875" bestFit="1" customWidth="1"/>
    <col min="7937" max="7937" width="23.5703125" customWidth="1"/>
    <col min="7938" max="7938" width="6" customWidth="1"/>
    <col min="7939" max="7939" width="16.5703125" customWidth="1"/>
    <col min="7940" max="7940" width="16.42578125" customWidth="1"/>
    <col min="7941" max="7941" width="14.7109375" customWidth="1"/>
    <col min="7942" max="7942" width="15.42578125" customWidth="1"/>
    <col min="7943" max="7943" width="14.42578125" customWidth="1"/>
    <col min="7944" max="7944" width="22.42578125" customWidth="1"/>
    <col min="7945" max="7945" width="16.5703125" bestFit="1" customWidth="1"/>
    <col min="7946" max="7946" width="15.85546875" bestFit="1" customWidth="1"/>
    <col min="8193" max="8193" width="23.5703125" customWidth="1"/>
    <col min="8194" max="8194" width="6" customWidth="1"/>
    <col min="8195" max="8195" width="16.5703125" customWidth="1"/>
    <col min="8196" max="8196" width="16.42578125" customWidth="1"/>
    <col min="8197" max="8197" width="14.7109375" customWidth="1"/>
    <col min="8198" max="8198" width="15.42578125" customWidth="1"/>
    <col min="8199" max="8199" width="14.42578125" customWidth="1"/>
    <col min="8200" max="8200" width="22.42578125" customWidth="1"/>
    <col min="8201" max="8201" width="16.5703125" bestFit="1" customWidth="1"/>
    <col min="8202" max="8202" width="15.85546875" bestFit="1" customWidth="1"/>
    <col min="8449" max="8449" width="23.5703125" customWidth="1"/>
    <col min="8450" max="8450" width="6" customWidth="1"/>
    <col min="8451" max="8451" width="16.5703125" customWidth="1"/>
    <col min="8452" max="8452" width="16.42578125" customWidth="1"/>
    <col min="8453" max="8453" width="14.7109375" customWidth="1"/>
    <col min="8454" max="8454" width="15.42578125" customWidth="1"/>
    <col min="8455" max="8455" width="14.42578125" customWidth="1"/>
    <col min="8456" max="8456" width="22.42578125" customWidth="1"/>
    <col min="8457" max="8457" width="16.5703125" bestFit="1" customWidth="1"/>
    <col min="8458" max="8458" width="15.85546875" bestFit="1" customWidth="1"/>
    <col min="8705" max="8705" width="23.5703125" customWidth="1"/>
    <col min="8706" max="8706" width="6" customWidth="1"/>
    <col min="8707" max="8707" width="16.5703125" customWidth="1"/>
    <col min="8708" max="8708" width="16.42578125" customWidth="1"/>
    <col min="8709" max="8709" width="14.7109375" customWidth="1"/>
    <col min="8710" max="8710" width="15.42578125" customWidth="1"/>
    <col min="8711" max="8711" width="14.42578125" customWidth="1"/>
    <col min="8712" max="8712" width="22.42578125" customWidth="1"/>
    <col min="8713" max="8713" width="16.5703125" bestFit="1" customWidth="1"/>
    <col min="8714" max="8714" width="15.85546875" bestFit="1" customWidth="1"/>
    <col min="8961" max="8961" width="23.5703125" customWidth="1"/>
    <col min="8962" max="8962" width="6" customWidth="1"/>
    <col min="8963" max="8963" width="16.5703125" customWidth="1"/>
    <col min="8964" max="8964" width="16.42578125" customWidth="1"/>
    <col min="8965" max="8965" width="14.7109375" customWidth="1"/>
    <col min="8966" max="8966" width="15.42578125" customWidth="1"/>
    <col min="8967" max="8967" width="14.42578125" customWidth="1"/>
    <col min="8968" max="8968" width="22.42578125" customWidth="1"/>
    <col min="8969" max="8969" width="16.5703125" bestFit="1" customWidth="1"/>
    <col min="8970" max="8970" width="15.85546875" bestFit="1" customWidth="1"/>
    <col min="9217" max="9217" width="23.5703125" customWidth="1"/>
    <col min="9218" max="9218" width="6" customWidth="1"/>
    <col min="9219" max="9219" width="16.5703125" customWidth="1"/>
    <col min="9220" max="9220" width="16.42578125" customWidth="1"/>
    <col min="9221" max="9221" width="14.7109375" customWidth="1"/>
    <col min="9222" max="9222" width="15.42578125" customWidth="1"/>
    <col min="9223" max="9223" width="14.42578125" customWidth="1"/>
    <col min="9224" max="9224" width="22.42578125" customWidth="1"/>
    <col min="9225" max="9225" width="16.5703125" bestFit="1" customWidth="1"/>
    <col min="9226" max="9226" width="15.85546875" bestFit="1" customWidth="1"/>
    <col min="9473" max="9473" width="23.5703125" customWidth="1"/>
    <col min="9474" max="9474" width="6" customWidth="1"/>
    <col min="9475" max="9475" width="16.5703125" customWidth="1"/>
    <col min="9476" max="9476" width="16.42578125" customWidth="1"/>
    <col min="9477" max="9477" width="14.7109375" customWidth="1"/>
    <col min="9478" max="9478" width="15.42578125" customWidth="1"/>
    <col min="9479" max="9479" width="14.42578125" customWidth="1"/>
    <col min="9480" max="9480" width="22.42578125" customWidth="1"/>
    <col min="9481" max="9481" width="16.5703125" bestFit="1" customWidth="1"/>
    <col min="9482" max="9482" width="15.85546875" bestFit="1" customWidth="1"/>
    <col min="9729" max="9729" width="23.5703125" customWidth="1"/>
    <col min="9730" max="9730" width="6" customWidth="1"/>
    <col min="9731" max="9731" width="16.5703125" customWidth="1"/>
    <col min="9732" max="9732" width="16.42578125" customWidth="1"/>
    <col min="9733" max="9733" width="14.7109375" customWidth="1"/>
    <col min="9734" max="9734" width="15.42578125" customWidth="1"/>
    <col min="9735" max="9735" width="14.42578125" customWidth="1"/>
    <col min="9736" max="9736" width="22.42578125" customWidth="1"/>
    <col min="9737" max="9737" width="16.5703125" bestFit="1" customWidth="1"/>
    <col min="9738" max="9738" width="15.85546875" bestFit="1" customWidth="1"/>
    <col min="9985" max="9985" width="23.5703125" customWidth="1"/>
    <col min="9986" max="9986" width="6" customWidth="1"/>
    <col min="9987" max="9987" width="16.5703125" customWidth="1"/>
    <col min="9988" max="9988" width="16.42578125" customWidth="1"/>
    <col min="9989" max="9989" width="14.7109375" customWidth="1"/>
    <col min="9990" max="9990" width="15.42578125" customWidth="1"/>
    <col min="9991" max="9991" width="14.42578125" customWidth="1"/>
    <col min="9992" max="9992" width="22.42578125" customWidth="1"/>
    <col min="9993" max="9993" width="16.5703125" bestFit="1" customWidth="1"/>
    <col min="9994" max="9994" width="15.85546875" bestFit="1" customWidth="1"/>
    <col min="10241" max="10241" width="23.5703125" customWidth="1"/>
    <col min="10242" max="10242" width="6" customWidth="1"/>
    <col min="10243" max="10243" width="16.5703125" customWidth="1"/>
    <col min="10244" max="10244" width="16.42578125" customWidth="1"/>
    <col min="10245" max="10245" width="14.7109375" customWidth="1"/>
    <col min="10246" max="10246" width="15.42578125" customWidth="1"/>
    <col min="10247" max="10247" width="14.42578125" customWidth="1"/>
    <col min="10248" max="10248" width="22.42578125" customWidth="1"/>
    <col min="10249" max="10249" width="16.5703125" bestFit="1" customWidth="1"/>
    <col min="10250" max="10250" width="15.85546875" bestFit="1" customWidth="1"/>
    <col min="10497" max="10497" width="23.5703125" customWidth="1"/>
    <col min="10498" max="10498" width="6" customWidth="1"/>
    <col min="10499" max="10499" width="16.5703125" customWidth="1"/>
    <col min="10500" max="10500" width="16.42578125" customWidth="1"/>
    <col min="10501" max="10501" width="14.7109375" customWidth="1"/>
    <col min="10502" max="10502" width="15.42578125" customWidth="1"/>
    <col min="10503" max="10503" width="14.42578125" customWidth="1"/>
    <col min="10504" max="10504" width="22.42578125" customWidth="1"/>
    <col min="10505" max="10505" width="16.5703125" bestFit="1" customWidth="1"/>
    <col min="10506" max="10506" width="15.85546875" bestFit="1" customWidth="1"/>
    <col min="10753" max="10753" width="23.5703125" customWidth="1"/>
    <col min="10754" max="10754" width="6" customWidth="1"/>
    <col min="10755" max="10755" width="16.5703125" customWidth="1"/>
    <col min="10756" max="10756" width="16.42578125" customWidth="1"/>
    <col min="10757" max="10757" width="14.7109375" customWidth="1"/>
    <col min="10758" max="10758" width="15.42578125" customWidth="1"/>
    <col min="10759" max="10759" width="14.42578125" customWidth="1"/>
    <col min="10760" max="10760" width="22.42578125" customWidth="1"/>
    <col min="10761" max="10761" width="16.5703125" bestFit="1" customWidth="1"/>
    <col min="10762" max="10762" width="15.85546875" bestFit="1" customWidth="1"/>
    <col min="11009" max="11009" width="23.5703125" customWidth="1"/>
    <col min="11010" max="11010" width="6" customWidth="1"/>
    <col min="11011" max="11011" width="16.5703125" customWidth="1"/>
    <col min="11012" max="11012" width="16.42578125" customWidth="1"/>
    <col min="11013" max="11013" width="14.7109375" customWidth="1"/>
    <col min="11014" max="11014" width="15.42578125" customWidth="1"/>
    <col min="11015" max="11015" width="14.42578125" customWidth="1"/>
    <col min="11016" max="11016" width="22.42578125" customWidth="1"/>
    <col min="11017" max="11017" width="16.5703125" bestFit="1" customWidth="1"/>
    <col min="11018" max="11018" width="15.85546875" bestFit="1" customWidth="1"/>
    <col min="11265" max="11265" width="23.5703125" customWidth="1"/>
    <col min="11266" max="11266" width="6" customWidth="1"/>
    <col min="11267" max="11267" width="16.5703125" customWidth="1"/>
    <col min="11268" max="11268" width="16.42578125" customWidth="1"/>
    <col min="11269" max="11269" width="14.7109375" customWidth="1"/>
    <col min="11270" max="11270" width="15.42578125" customWidth="1"/>
    <col min="11271" max="11271" width="14.42578125" customWidth="1"/>
    <col min="11272" max="11272" width="22.42578125" customWidth="1"/>
    <col min="11273" max="11273" width="16.5703125" bestFit="1" customWidth="1"/>
    <col min="11274" max="11274" width="15.85546875" bestFit="1" customWidth="1"/>
    <col min="11521" max="11521" width="23.5703125" customWidth="1"/>
    <col min="11522" max="11522" width="6" customWidth="1"/>
    <col min="11523" max="11523" width="16.5703125" customWidth="1"/>
    <col min="11524" max="11524" width="16.42578125" customWidth="1"/>
    <col min="11525" max="11525" width="14.7109375" customWidth="1"/>
    <col min="11526" max="11526" width="15.42578125" customWidth="1"/>
    <col min="11527" max="11527" width="14.42578125" customWidth="1"/>
    <col min="11528" max="11528" width="22.42578125" customWidth="1"/>
    <col min="11529" max="11529" width="16.5703125" bestFit="1" customWidth="1"/>
    <col min="11530" max="11530" width="15.85546875" bestFit="1" customWidth="1"/>
    <col min="11777" max="11777" width="23.5703125" customWidth="1"/>
    <col min="11778" max="11778" width="6" customWidth="1"/>
    <col min="11779" max="11779" width="16.5703125" customWidth="1"/>
    <col min="11780" max="11780" width="16.42578125" customWidth="1"/>
    <col min="11781" max="11781" width="14.7109375" customWidth="1"/>
    <col min="11782" max="11782" width="15.42578125" customWidth="1"/>
    <col min="11783" max="11783" width="14.42578125" customWidth="1"/>
    <col min="11784" max="11784" width="22.42578125" customWidth="1"/>
    <col min="11785" max="11785" width="16.5703125" bestFit="1" customWidth="1"/>
    <col min="11786" max="11786" width="15.85546875" bestFit="1" customWidth="1"/>
    <col min="12033" max="12033" width="23.5703125" customWidth="1"/>
    <col min="12034" max="12034" width="6" customWidth="1"/>
    <col min="12035" max="12035" width="16.5703125" customWidth="1"/>
    <col min="12036" max="12036" width="16.42578125" customWidth="1"/>
    <col min="12037" max="12037" width="14.7109375" customWidth="1"/>
    <col min="12038" max="12038" width="15.42578125" customWidth="1"/>
    <col min="12039" max="12039" width="14.42578125" customWidth="1"/>
    <col min="12040" max="12040" width="22.42578125" customWidth="1"/>
    <col min="12041" max="12041" width="16.5703125" bestFit="1" customWidth="1"/>
    <col min="12042" max="12042" width="15.85546875" bestFit="1" customWidth="1"/>
    <col min="12289" max="12289" width="23.5703125" customWidth="1"/>
    <col min="12290" max="12290" width="6" customWidth="1"/>
    <col min="12291" max="12291" width="16.5703125" customWidth="1"/>
    <col min="12292" max="12292" width="16.42578125" customWidth="1"/>
    <col min="12293" max="12293" width="14.7109375" customWidth="1"/>
    <col min="12294" max="12294" width="15.42578125" customWidth="1"/>
    <col min="12295" max="12295" width="14.42578125" customWidth="1"/>
    <col min="12296" max="12296" width="22.42578125" customWidth="1"/>
    <col min="12297" max="12297" width="16.5703125" bestFit="1" customWidth="1"/>
    <col min="12298" max="12298" width="15.85546875" bestFit="1" customWidth="1"/>
    <col min="12545" max="12545" width="23.5703125" customWidth="1"/>
    <col min="12546" max="12546" width="6" customWidth="1"/>
    <col min="12547" max="12547" width="16.5703125" customWidth="1"/>
    <col min="12548" max="12548" width="16.42578125" customWidth="1"/>
    <col min="12549" max="12549" width="14.7109375" customWidth="1"/>
    <col min="12550" max="12550" width="15.42578125" customWidth="1"/>
    <col min="12551" max="12551" width="14.42578125" customWidth="1"/>
    <col min="12552" max="12552" width="22.42578125" customWidth="1"/>
    <col min="12553" max="12553" width="16.5703125" bestFit="1" customWidth="1"/>
    <col min="12554" max="12554" width="15.85546875" bestFit="1" customWidth="1"/>
    <col min="12801" max="12801" width="23.5703125" customWidth="1"/>
    <col min="12802" max="12802" width="6" customWidth="1"/>
    <col min="12803" max="12803" width="16.5703125" customWidth="1"/>
    <col min="12804" max="12804" width="16.42578125" customWidth="1"/>
    <col min="12805" max="12805" width="14.7109375" customWidth="1"/>
    <col min="12806" max="12806" width="15.42578125" customWidth="1"/>
    <col min="12807" max="12807" width="14.42578125" customWidth="1"/>
    <col min="12808" max="12808" width="22.42578125" customWidth="1"/>
    <col min="12809" max="12809" width="16.5703125" bestFit="1" customWidth="1"/>
    <col min="12810" max="12810" width="15.85546875" bestFit="1" customWidth="1"/>
    <col min="13057" max="13057" width="23.5703125" customWidth="1"/>
    <col min="13058" max="13058" width="6" customWidth="1"/>
    <col min="13059" max="13059" width="16.5703125" customWidth="1"/>
    <col min="13060" max="13060" width="16.42578125" customWidth="1"/>
    <col min="13061" max="13061" width="14.7109375" customWidth="1"/>
    <col min="13062" max="13062" width="15.42578125" customWidth="1"/>
    <col min="13063" max="13063" width="14.42578125" customWidth="1"/>
    <col min="13064" max="13064" width="22.42578125" customWidth="1"/>
    <col min="13065" max="13065" width="16.5703125" bestFit="1" customWidth="1"/>
    <col min="13066" max="13066" width="15.85546875" bestFit="1" customWidth="1"/>
    <col min="13313" max="13313" width="23.5703125" customWidth="1"/>
    <col min="13314" max="13314" width="6" customWidth="1"/>
    <col min="13315" max="13315" width="16.5703125" customWidth="1"/>
    <col min="13316" max="13316" width="16.42578125" customWidth="1"/>
    <col min="13317" max="13317" width="14.7109375" customWidth="1"/>
    <col min="13318" max="13318" width="15.42578125" customWidth="1"/>
    <col min="13319" max="13319" width="14.42578125" customWidth="1"/>
    <col min="13320" max="13320" width="22.42578125" customWidth="1"/>
    <col min="13321" max="13321" width="16.5703125" bestFit="1" customWidth="1"/>
    <col min="13322" max="13322" width="15.85546875" bestFit="1" customWidth="1"/>
    <col min="13569" max="13569" width="23.5703125" customWidth="1"/>
    <col min="13570" max="13570" width="6" customWidth="1"/>
    <col min="13571" max="13571" width="16.5703125" customWidth="1"/>
    <col min="13572" max="13572" width="16.42578125" customWidth="1"/>
    <col min="13573" max="13573" width="14.7109375" customWidth="1"/>
    <col min="13574" max="13574" width="15.42578125" customWidth="1"/>
    <col min="13575" max="13575" width="14.42578125" customWidth="1"/>
    <col min="13576" max="13576" width="22.42578125" customWidth="1"/>
    <col min="13577" max="13577" width="16.5703125" bestFit="1" customWidth="1"/>
    <col min="13578" max="13578" width="15.85546875" bestFit="1" customWidth="1"/>
    <col min="13825" max="13825" width="23.5703125" customWidth="1"/>
    <col min="13826" max="13826" width="6" customWidth="1"/>
    <col min="13827" max="13827" width="16.5703125" customWidth="1"/>
    <col min="13828" max="13828" width="16.42578125" customWidth="1"/>
    <col min="13829" max="13829" width="14.7109375" customWidth="1"/>
    <col min="13830" max="13830" width="15.42578125" customWidth="1"/>
    <col min="13831" max="13831" width="14.42578125" customWidth="1"/>
    <col min="13832" max="13832" width="22.42578125" customWidth="1"/>
    <col min="13833" max="13833" width="16.5703125" bestFit="1" customWidth="1"/>
    <col min="13834" max="13834" width="15.85546875" bestFit="1" customWidth="1"/>
    <col min="14081" max="14081" width="23.5703125" customWidth="1"/>
    <col min="14082" max="14082" width="6" customWidth="1"/>
    <col min="14083" max="14083" width="16.5703125" customWidth="1"/>
    <col min="14084" max="14084" width="16.42578125" customWidth="1"/>
    <col min="14085" max="14085" width="14.7109375" customWidth="1"/>
    <col min="14086" max="14086" width="15.42578125" customWidth="1"/>
    <col min="14087" max="14087" width="14.42578125" customWidth="1"/>
    <col min="14088" max="14088" width="22.42578125" customWidth="1"/>
    <col min="14089" max="14089" width="16.5703125" bestFit="1" customWidth="1"/>
    <col min="14090" max="14090" width="15.85546875" bestFit="1" customWidth="1"/>
    <col min="14337" max="14337" width="23.5703125" customWidth="1"/>
    <col min="14338" max="14338" width="6" customWidth="1"/>
    <col min="14339" max="14339" width="16.5703125" customWidth="1"/>
    <col min="14340" max="14340" width="16.42578125" customWidth="1"/>
    <col min="14341" max="14341" width="14.7109375" customWidth="1"/>
    <col min="14342" max="14342" width="15.42578125" customWidth="1"/>
    <col min="14343" max="14343" width="14.42578125" customWidth="1"/>
    <col min="14344" max="14344" width="22.42578125" customWidth="1"/>
    <col min="14345" max="14345" width="16.5703125" bestFit="1" customWidth="1"/>
    <col min="14346" max="14346" width="15.85546875" bestFit="1" customWidth="1"/>
    <col min="14593" max="14593" width="23.5703125" customWidth="1"/>
    <col min="14594" max="14594" width="6" customWidth="1"/>
    <col min="14595" max="14595" width="16.5703125" customWidth="1"/>
    <col min="14596" max="14596" width="16.42578125" customWidth="1"/>
    <col min="14597" max="14597" width="14.7109375" customWidth="1"/>
    <col min="14598" max="14598" width="15.42578125" customWidth="1"/>
    <col min="14599" max="14599" width="14.42578125" customWidth="1"/>
    <col min="14600" max="14600" width="22.42578125" customWidth="1"/>
    <col min="14601" max="14601" width="16.5703125" bestFit="1" customWidth="1"/>
    <col min="14602" max="14602" width="15.85546875" bestFit="1" customWidth="1"/>
    <col min="14849" max="14849" width="23.5703125" customWidth="1"/>
    <col min="14850" max="14850" width="6" customWidth="1"/>
    <col min="14851" max="14851" width="16.5703125" customWidth="1"/>
    <col min="14852" max="14852" width="16.42578125" customWidth="1"/>
    <col min="14853" max="14853" width="14.7109375" customWidth="1"/>
    <col min="14854" max="14854" width="15.42578125" customWidth="1"/>
    <col min="14855" max="14855" width="14.42578125" customWidth="1"/>
    <col min="14856" max="14856" width="22.42578125" customWidth="1"/>
    <col min="14857" max="14857" width="16.5703125" bestFit="1" customWidth="1"/>
    <col min="14858" max="14858" width="15.85546875" bestFit="1" customWidth="1"/>
    <col min="15105" max="15105" width="23.5703125" customWidth="1"/>
    <col min="15106" max="15106" width="6" customWidth="1"/>
    <col min="15107" max="15107" width="16.5703125" customWidth="1"/>
    <col min="15108" max="15108" width="16.42578125" customWidth="1"/>
    <col min="15109" max="15109" width="14.7109375" customWidth="1"/>
    <col min="15110" max="15110" width="15.42578125" customWidth="1"/>
    <col min="15111" max="15111" width="14.42578125" customWidth="1"/>
    <col min="15112" max="15112" width="22.42578125" customWidth="1"/>
    <col min="15113" max="15113" width="16.5703125" bestFit="1" customWidth="1"/>
    <col min="15114" max="15114" width="15.85546875" bestFit="1" customWidth="1"/>
    <col min="15361" max="15361" width="23.5703125" customWidth="1"/>
    <col min="15362" max="15362" width="6" customWidth="1"/>
    <col min="15363" max="15363" width="16.5703125" customWidth="1"/>
    <col min="15364" max="15364" width="16.42578125" customWidth="1"/>
    <col min="15365" max="15365" width="14.7109375" customWidth="1"/>
    <col min="15366" max="15366" width="15.42578125" customWidth="1"/>
    <col min="15367" max="15367" width="14.42578125" customWidth="1"/>
    <col min="15368" max="15368" width="22.42578125" customWidth="1"/>
    <col min="15369" max="15369" width="16.5703125" bestFit="1" customWidth="1"/>
    <col min="15370" max="15370" width="15.85546875" bestFit="1" customWidth="1"/>
    <col min="15617" max="15617" width="23.5703125" customWidth="1"/>
    <col min="15618" max="15618" width="6" customWidth="1"/>
    <col min="15619" max="15619" width="16.5703125" customWidth="1"/>
    <col min="15620" max="15620" width="16.42578125" customWidth="1"/>
    <col min="15621" max="15621" width="14.7109375" customWidth="1"/>
    <col min="15622" max="15622" width="15.42578125" customWidth="1"/>
    <col min="15623" max="15623" width="14.42578125" customWidth="1"/>
    <col min="15624" max="15624" width="22.42578125" customWidth="1"/>
    <col min="15625" max="15625" width="16.5703125" bestFit="1" customWidth="1"/>
    <col min="15626" max="15626" width="15.85546875" bestFit="1" customWidth="1"/>
    <col min="15873" max="15873" width="23.5703125" customWidth="1"/>
    <col min="15874" max="15874" width="6" customWidth="1"/>
    <col min="15875" max="15875" width="16.5703125" customWidth="1"/>
    <col min="15876" max="15876" width="16.42578125" customWidth="1"/>
    <col min="15877" max="15877" width="14.7109375" customWidth="1"/>
    <col min="15878" max="15878" width="15.42578125" customWidth="1"/>
    <col min="15879" max="15879" width="14.42578125" customWidth="1"/>
    <col min="15880" max="15880" width="22.42578125" customWidth="1"/>
    <col min="15881" max="15881" width="16.5703125" bestFit="1" customWidth="1"/>
    <col min="15882" max="15882" width="15.85546875" bestFit="1" customWidth="1"/>
    <col min="16129" max="16129" width="23.5703125" customWidth="1"/>
    <col min="16130" max="16130" width="6" customWidth="1"/>
    <col min="16131" max="16131" width="16.5703125" customWidth="1"/>
    <col min="16132" max="16132" width="16.42578125" customWidth="1"/>
    <col min="16133" max="16133" width="14.7109375" customWidth="1"/>
    <col min="16134" max="16134" width="15.42578125" customWidth="1"/>
    <col min="16135" max="16135" width="14.42578125" customWidth="1"/>
    <col min="16136" max="16136" width="22.42578125" customWidth="1"/>
    <col min="16137" max="16137" width="16.5703125" bestFit="1" customWidth="1"/>
    <col min="16138" max="16138" width="15.85546875" bestFit="1" customWidth="1"/>
  </cols>
  <sheetData>
    <row r="1" spans="1:10" ht="14.25" customHeight="1">
      <c r="A1" s="304" t="s">
        <v>85</v>
      </c>
      <c r="B1" s="73"/>
      <c r="G1" s="306" t="s">
        <v>86</v>
      </c>
      <c r="H1" s="306"/>
      <c r="I1" s="74"/>
    </row>
    <row r="2" spans="1:10" ht="27.75" customHeight="1">
      <c r="A2" s="305"/>
      <c r="B2" s="73"/>
      <c r="C2" s="307" t="s">
        <v>87</v>
      </c>
      <c r="D2" s="307"/>
      <c r="E2" s="307"/>
      <c r="F2" s="307"/>
      <c r="G2" s="308" t="s">
        <v>88</v>
      </c>
      <c r="H2" s="308"/>
      <c r="I2" s="75"/>
    </row>
    <row r="3" spans="1:10" ht="15" customHeight="1">
      <c r="A3" s="76"/>
      <c r="B3" s="77" t="s">
        <v>89</v>
      </c>
      <c r="D3" s="77"/>
      <c r="E3" s="78" t="s">
        <v>90</v>
      </c>
      <c r="F3" s="79" t="s">
        <v>91</v>
      </c>
      <c r="G3" s="302" t="s">
        <v>239</v>
      </c>
      <c r="H3" s="303"/>
      <c r="I3" s="80"/>
    </row>
    <row r="4" spans="1:10" ht="15" customHeight="1">
      <c r="A4" s="81"/>
      <c r="B4" s="77" t="s">
        <v>92</v>
      </c>
      <c r="D4" s="77"/>
      <c r="E4" s="77"/>
      <c r="F4" s="79" t="s">
        <v>93</v>
      </c>
      <c r="G4" s="302" t="s">
        <v>208</v>
      </c>
      <c r="H4" s="303"/>
      <c r="I4" s="80"/>
    </row>
    <row r="5" spans="1:10" ht="15" customHeight="1">
      <c r="A5" s="81"/>
      <c r="B5" s="77" t="s">
        <v>94</v>
      </c>
      <c r="D5" s="77"/>
      <c r="E5" s="77"/>
      <c r="F5" s="79" t="s">
        <v>95</v>
      </c>
      <c r="H5" s="77"/>
    </row>
    <row r="6" spans="1:10" ht="2.25" customHeight="1">
      <c r="C6" s="82"/>
      <c r="D6" s="82"/>
      <c r="E6" s="82"/>
      <c r="F6" s="82"/>
      <c r="G6" s="82"/>
      <c r="H6" s="82"/>
    </row>
    <row r="7" spans="1:10" s="25" customFormat="1" ht="15.95" customHeight="1">
      <c r="A7" s="83" t="s">
        <v>96</v>
      </c>
      <c r="B7" s="84"/>
      <c r="C7" s="84"/>
      <c r="D7" s="84"/>
      <c r="E7" s="85"/>
      <c r="F7" s="84"/>
      <c r="G7" s="84"/>
      <c r="H7" s="84"/>
    </row>
    <row r="8" spans="1:10" s="25" customFormat="1" ht="15.95" customHeight="1">
      <c r="A8" s="83" t="s">
        <v>75</v>
      </c>
      <c r="B8" s="84"/>
      <c r="D8" s="86" t="s">
        <v>37</v>
      </c>
      <c r="G8" s="86"/>
      <c r="H8" s="84"/>
    </row>
    <row r="9" spans="1:10" s="25" customFormat="1" ht="15.95" customHeight="1">
      <c r="A9" s="86" t="s">
        <v>97</v>
      </c>
      <c r="B9" s="84"/>
      <c r="C9" s="84"/>
      <c r="F9" s="84"/>
      <c r="G9" s="84"/>
      <c r="H9" s="84" t="s">
        <v>98</v>
      </c>
    </row>
    <row r="10" spans="1:10" s="25" customFormat="1" ht="15.95" customHeight="1">
      <c r="A10" s="84"/>
      <c r="B10" s="84"/>
      <c r="C10" s="84"/>
      <c r="D10" s="86" t="s">
        <v>99</v>
      </c>
      <c r="F10" s="84"/>
      <c r="G10" s="84"/>
    </row>
    <row r="11" spans="1:10" s="25" customFormat="1" ht="15.95" customHeight="1">
      <c r="A11" s="83" t="s">
        <v>100</v>
      </c>
      <c r="B11" s="87"/>
      <c r="D11" s="86" t="s">
        <v>101</v>
      </c>
      <c r="G11" s="86"/>
      <c r="H11" s="84"/>
    </row>
    <row r="12" spans="1:10" s="88" customFormat="1" ht="6" customHeight="1"/>
    <row r="13" spans="1:10" s="25" customFormat="1" ht="14.25" customHeight="1">
      <c r="A13" s="311" t="s">
        <v>21</v>
      </c>
      <c r="B13" s="311"/>
      <c r="C13" s="311"/>
      <c r="D13" s="312" t="s">
        <v>22</v>
      </c>
      <c r="E13" s="312" t="s">
        <v>102</v>
      </c>
      <c r="F13" s="312" t="s">
        <v>103</v>
      </c>
      <c r="G13" s="312" t="s">
        <v>104</v>
      </c>
      <c r="H13" s="313" t="s">
        <v>105</v>
      </c>
    </row>
    <row r="14" spans="1:10" s="25" customFormat="1" ht="36" customHeight="1">
      <c r="A14" s="311"/>
      <c r="B14" s="311"/>
      <c r="C14" s="311"/>
      <c r="D14" s="312"/>
      <c r="E14" s="312"/>
      <c r="F14" s="312"/>
      <c r="G14" s="312"/>
      <c r="H14" s="314"/>
    </row>
    <row r="15" spans="1:10" s="25" customFormat="1" ht="15.75">
      <c r="A15" s="315">
        <v>-1</v>
      </c>
      <c r="B15" s="316"/>
      <c r="C15" s="317"/>
      <c r="D15" s="90">
        <v>-2</v>
      </c>
      <c r="E15" s="90">
        <v>-3</v>
      </c>
      <c r="F15" s="90">
        <v>-4</v>
      </c>
      <c r="G15" s="90">
        <v>-5</v>
      </c>
      <c r="H15" s="90">
        <v>-6</v>
      </c>
    </row>
    <row r="16" spans="1:10" s="25" customFormat="1" ht="33.75" customHeight="1">
      <c r="A16" s="344" t="s">
        <v>228</v>
      </c>
      <c r="B16" s="344"/>
      <c r="C16" s="344"/>
      <c r="D16" s="170" t="s">
        <v>193</v>
      </c>
      <c r="E16" s="171">
        <v>622</v>
      </c>
      <c r="F16" s="172" t="s">
        <v>141</v>
      </c>
      <c r="G16" s="171">
        <v>13</v>
      </c>
      <c r="H16" s="173">
        <f>(('Lương T10'!D27-'Lương T10'!D11)*10.5%*1490000)+('Lương T10'!D11*9.5%*1490000)</f>
        <v>8130036.0000000009</v>
      </c>
      <c r="I16" s="91">
        <f>H16</f>
        <v>8130036.0000000009</v>
      </c>
      <c r="J16" s="25">
        <f>7713943</f>
        <v>7713943</v>
      </c>
    </row>
    <row r="17" spans="1:10" s="25" customFormat="1" ht="33.75" customHeight="1">
      <c r="A17" s="344" t="s">
        <v>228</v>
      </c>
      <c r="B17" s="344"/>
      <c r="C17" s="344"/>
      <c r="D17" s="170" t="s">
        <v>142</v>
      </c>
      <c r="E17" s="171">
        <v>622</v>
      </c>
      <c r="F17" s="172" t="s">
        <v>141</v>
      </c>
      <c r="G17" s="171">
        <v>13</v>
      </c>
      <c r="H17" s="173">
        <f>('BV T10'!D17*1490000*10.5%)</f>
        <v>1573886.9999999998</v>
      </c>
      <c r="I17" s="91">
        <f t="shared" ref="I17:I19" si="0">H17</f>
        <v>1573886.9999999998</v>
      </c>
      <c r="J17" s="25">
        <v>1220608</v>
      </c>
    </row>
    <row r="18" spans="1:10" s="25" customFormat="1" ht="33.75" customHeight="1">
      <c r="A18" s="344" t="s">
        <v>228</v>
      </c>
      <c r="B18" s="344"/>
      <c r="C18" s="344"/>
      <c r="D18" s="170" t="s">
        <v>194</v>
      </c>
      <c r="E18" s="171">
        <v>622</v>
      </c>
      <c r="F18" s="172" t="s">
        <v>141</v>
      </c>
      <c r="G18" s="171">
        <v>13</v>
      </c>
      <c r="H18" s="173">
        <f>((1.6-0.5)*1490000*10.5%)+(0.5*1490000*9.5%)</f>
        <v>242870.00000000003</v>
      </c>
      <c r="I18" s="91">
        <f t="shared" si="0"/>
        <v>242870.00000000003</v>
      </c>
      <c r="J18" s="25">
        <f>16874251+2670080</f>
        <v>19544331</v>
      </c>
    </row>
    <row r="19" spans="1:10" s="25" customFormat="1" ht="33.75" customHeight="1">
      <c r="A19" s="344" t="s">
        <v>228</v>
      </c>
      <c r="B19" s="344"/>
      <c r="C19" s="344"/>
      <c r="D19" s="170" t="s">
        <v>196</v>
      </c>
      <c r="E19" s="171">
        <v>622</v>
      </c>
      <c r="F19" s="172" t="s">
        <v>141</v>
      </c>
      <c r="G19" s="171">
        <v>13</v>
      </c>
      <c r="H19" s="173">
        <f>('Lương T10'!I27+'Lương T10'!H27-'Lương T10'!I11)*1490000*10.5%+(1.5892*1490000*9.5%)</f>
        <v>1418395.0402000002</v>
      </c>
      <c r="I19" s="91">
        <f t="shared" si="0"/>
        <v>1418395.0402000002</v>
      </c>
      <c r="J19" s="25">
        <f>2892729+457728</f>
        <v>3350457</v>
      </c>
    </row>
    <row r="20" spans="1:10" s="25" customFormat="1" ht="33.75" customHeight="1">
      <c r="A20" s="343" t="s">
        <v>229</v>
      </c>
      <c r="B20" s="343"/>
      <c r="C20" s="343"/>
      <c r="D20" s="170" t="s">
        <v>132</v>
      </c>
      <c r="E20" s="171">
        <v>622</v>
      </c>
      <c r="F20" s="172" t="s">
        <v>141</v>
      </c>
      <c r="G20" s="171">
        <v>13</v>
      </c>
      <c r="H20" s="173">
        <f>('Lương T10'!D27+'Lương T10'!E27+'Lương T10'!I27+'Lương T10'!H27+'BV T10'!D17)*17.5%*1490000</f>
        <v>19117531.866999999</v>
      </c>
      <c r="I20" s="91">
        <f>'Lương T10'!N27+'BV T10'!I17</f>
        <v>19117531.866999999</v>
      </c>
      <c r="J20" s="25">
        <f>1446364+152864</f>
        <v>1599228</v>
      </c>
    </row>
    <row r="21" spans="1:10" s="25" customFormat="1" ht="33.75" customHeight="1">
      <c r="A21" s="343" t="s">
        <v>230</v>
      </c>
      <c r="B21" s="343"/>
      <c r="C21" s="343"/>
      <c r="D21" s="170" t="s">
        <v>131</v>
      </c>
      <c r="E21" s="171">
        <v>622</v>
      </c>
      <c r="F21" s="172" t="s">
        <v>141</v>
      </c>
      <c r="G21" s="171">
        <v>13</v>
      </c>
      <c r="H21" s="173">
        <f>('Lương T10'!D27+'Lương T10'!E27+'Lương T10'!I27+'Lương T10'!H27+'BV T10'!D17)*3%*1490000</f>
        <v>3277291.1771999998</v>
      </c>
      <c r="I21" s="91">
        <f>'Lương T10'!P27+'BV T10'!K17</f>
        <v>3277291.1772000003</v>
      </c>
      <c r="J21" s="25">
        <f>858912+152576</f>
        <v>1011488</v>
      </c>
    </row>
    <row r="22" spans="1:10" s="25" customFormat="1" ht="33.75" customHeight="1">
      <c r="A22" s="343" t="s">
        <v>231</v>
      </c>
      <c r="B22" s="343"/>
      <c r="C22" s="343"/>
      <c r="D22" s="170" t="s">
        <v>130</v>
      </c>
      <c r="E22" s="171">
        <v>622</v>
      </c>
      <c r="F22" s="172" t="s">
        <v>141</v>
      </c>
      <c r="G22" s="171">
        <v>13</v>
      </c>
      <c r="H22" s="173">
        <f>('Lương T10'!D27+'Lương T10'!E27+'Lương T10'!H27+'Lương T10'!I27-'Lương T10'!D11-'Lương T10'!E11-'Lương T10'!I11+'BV T10'!D17)*1%*1490000</f>
        <v>987099.31240000005</v>
      </c>
      <c r="I22" s="91">
        <f>'Lương T10'!R27+'BV T10'!M17</f>
        <v>987099.31240000005</v>
      </c>
      <c r="J22" s="25">
        <f>858912+152576</f>
        <v>1011488</v>
      </c>
    </row>
    <row r="23" spans="1:10" s="25" customFormat="1" ht="18" customHeight="1">
      <c r="A23" s="345"/>
      <c r="B23" s="345"/>
      <c r="C23" s="345"/>
      <c r="D23" s="174"/>
      <c r="E23" s="175"/>
      <c r="F23" s="175"/>
      <c r="G23" s="175"/>
      <c r="H23" s="176"/>
      <c r="I23" s="91"/>
      <c r="J23" s="92">
        <f>SUM(J16:J22)</f>
        <v>35451543</v>
      </c>
    </row>
    <row r="24" spans="1:10" s="25" customFormat="1" ht="24" customHeight="1">
      <c r="A24" s="319" t="s">
        <v>42</v>
      </c>
      <c r="B24" s="320"/>
      <c r="C24" s="320"/>
      <c r="D24" s="320"/>
      <c r="E24" s="320"/>
      <c r="F24" s="320"/>
      <c r="G24" s="321"/>
      <c r="H24" s="93">
        <f>SUM(H16:H23)</f>
        <v>34747110.396799996</v>
      </c>
      <c r="I24" s="94">
        <f>SUM(I16:I22)</f>
        <v>34747110.396799996</v>
      </c>
    </row>
    <row r="25" spans="1:10" s="88" customFormat="1" ht="5.25" customHeight="1">
      <c r="A25" s="95"/>
      <c r="B25" s="95"/>
      <c r="C25" s="95"/>
      <c r="D25" s="95"/>
      <c r="E25" s="95"/>
      <c r="F25" s="95"/>
      <c r="G25" s="95"/>
      <c r="H25" s="96"/>
    </row>
    <row r="26" spans="1:10" s="88" customFormat="1" ht="22.5" customHeight="1">
      <c r="A26" s="322" t="s">
        <v>243</v>
      </c>
      <c r="B26" s="322"/>
      <c r="C26" s="322"/>
      <c r="D26" s="322"/>
      <c r="E26" s="322"/>
      <c r="F26" s="323"/>
      <c r="G26" s="324" t="s">
        <v>23</v>
      </c>
      <c r="H26" s="325"/>
    </row>
    <row r="27" spans="1:10" s="88" customFormat="1" ht="17.25" customHeight="1">
      <c r="A27" s="346" t="s">
        <v>244</v>
      </c>
      <c r="B27" s="346"/>
      <c r="C27" s="346"/>
      <c r="D27" s="346"/>
      <c r="E27" s="161"/>
      <c r="F27" s="162"/>
      <c r="G27" s="134" t="s">
        <v>145</v>
      </c>
      <c r="H27" s="100"/>
    </row>
    <row r="28" spans="1:10" s="88" customFormat="1" ht="19.5" customHeight="1">
      <c r="A28" s="163" t="s">
        <v>27</v>
      </c>
      <c r="B28" s="164"/>
      <c r="C28" s="163"/>
      <c r="D28" s="102"/>
      <c r="E28" s="102"/>
      <c r="F28" s="102"/>
      <c r="G28" s="134" t="s">
        <v>146</v>
      </c>
      <c r="H28" s="100"/>
    </row>
    <row r="29" spans="1:10" s="88" customFormat="1" ht="15" customHeight="1">
      <c r="A29" s="165" t="s">
        <v>213</v>
      </c>
      <c r="B29" s="166"/>
      <c r="C29" s="166"/>
      <c r="D29" s="103"/>
      <c r="E29" s="103"/>
      <c r="F29" s="103"/>
      <c r="G29" s="99" t="s">
        <v>108</v>
      </c>
      <c r="H29" s="100"/>
    </row>
    <row r="30" spans="1:10" s="88" customFormat="1" ht="15" customHeight="1">
      <c r="A30" s="167" t="s">
        <v>78</v>
      </c>
      <c r="B30" s="166"/>
      <c r="C30" s="166"/>
      <c r="D30" s="101"/>
      <c r="E30" s="101"/>
      <c r="F30" s="104"/>
      <c r="G30" s="99" t="s">
        <v>109</v>
      </c>
      <c r="H30" s="100"/>
    </row>
    <row r="31" spans="1:10" s="88" customFormat="1" ht="15" customHeight="1">
      <c r="A31" s="167" t="s">
        <v>77</v>
      </c>
      <c r="B31" s="167"/>
      <c r="C31" s="167"/>
      <c r="D31" s="26"/>
      <c r="E31" s="101"/>
      <c r="F31" s="102"/>
      <c r="G31" s="309" t="s">
        <v>108</v>
      </c>
      <c r="H31" s="310"/>
    </row>
    <row r="32" spans="1:10" s="88" customFormat="1" ht="15" customHeight="1">
      <c r="A32" s="104" t="s">
        <v>110</v>
      </c>
      <c r="B32" s="104"/>
      <c r="C32" s="104"/>
      <c r="D32" s="104"/>
      <c r="E32" s="104"/>
      <c r="F32" s="104"/>
      <c r="G32" s="309" t="s">
        <v>109</v>
      </c>
      <c r="H32" s="310"/>
    </row>
    <row r="33" spans="1:9" s="88" customFormat="1" ht="15" customHeight="1">
      <c r="A33" s="104" t="s">
        <v>111</v>
      </c>
      <c r="B33" s="104"/>
      <c r="C33" s="104"/>
      <c r="D33" s="104"/>
      <c r="E33" s="104"/>
      <c r="F33" s="104"/>
      <c r="G33" s="105" t="s">
        <v>112</v>
      </c>
      <c r="H33" s="106"/>
    </row>
    <row r="34" spans="1:9" s="88" customFormat="1" ht="15" customHeight="1">
      <c r="A34" s="331"/>
      <c r="B34" s="331"/>
      <c r="C34" s="331"/>
      <c r="D34" s="331"/>
      <c r="E34" s="331"/>
      <c r="F34" s="331"/>
      <c r="G34" s="331"/>
      <c r="H34" s="331"/>
    </row>
    <row r="35" spans="1:9" s="88" customFormat="1" ht="2.25" customHeight="1">
      <c r="A35" s="107"/>
      <c r="B35" s="107"/>
      <c r="C35" s="107"/>
      <c r="D35" s="107"/>
      <c r="E35" s="107"/>
      <c r="F35" s="107"/>
      <c r="G35" s="107"/>
      <c r="H35" s="107"/>
    </row>
    <row r="36" spans="1:9" s="88" customFormat="1" ht="15.75" customHeight="1">
      <c r="A36" s="329" t="s">
        <v>24</v>
      </c>
      <c r="B36" s="329"/>
      <c r="C36" s="329"/>
      <c r="D36" s="329"/>
      <c r="E36" s="329" t="s">
        <v>25</v>
      </c>
      <c r="F36" s="329"/>
      <c r="G36" s="329"/>
      <c r="H36" s="329"/>
    </row>
    <row r="37" spans="1:9" s="88" customFormat="1" ht="15">
      <c r="A37" s="332" t="s">
        <v>233</v>
      </c>
      <c r="B37" s="332"/>
      <c r="C37" s="332"/>
      <c r="D37" s="332"/>
      <c r="E37" s="332" t="s">
        <v>232</v>
      </c>
      <c r="F37" s="332"/>
      <c r="G37" s="332"/>
      <c r="H37" s="332"/>
    </row>
    <row r="38" spans="1:9" s="88" customFormat="1" ht="15" customHeight="1">
      <c r="A38" s="329" t="s">
        <v>113</v>
      </c>
      <c r="B38" s="329"/>
      <c r="C38" s="329" t="s">
        <v>114</v>
      </c>
      <c r="D38" s="329"/>
      <c r="E38" s="329" t="s">
        <v>26</v>
      </c>
      <c r="F38" s="329"/>
      <c r="G38" s="329" t="s">
        <v>45</v>
      </c>
      <c r="H38" s="329"/>
    </row>
    <row r="39" spans="1:9" s="88" customFormat="1" ht="12.95" customHeight="1">
      <c r="A39" s="107"/>
      <c r="B39" s="107"/>
      <c r="C39" s="107"/>
      <c r="D39" s="107"/>
      <c r="E39" s="330" t="s">
        <v>115</v>
      </c>
      <c r="F39" s="330"/>
      <c r="G39" s="330" t="s">
        <v>116</v>
      </c>
      <c r="H39" s="330"/>
    </row>
    <row r="40" spans="1:9" s="88" customFormat="1" ht="15">
      <c r="A40" s="107"/>
      <c r="B40" s="107"/>
      <c r="C40" s="107"/>
      <c r="D40" s="107"/>
      <c r="E40" s="107"/>
      <c r="F40" s="107"/>
      <c r="G40" s="107"/>
      <c r="H40" s="107"/>
    </row>
    <row r="41" spans="1:9" s="88" customFormat="1" ht="15">
      <c r="A41" s="107"/>
      <c r="B41" s="107"/>
      <c r="C41" s="107"/>
      <c r="D41" s="107"/>
      <c r="E41" s="107"/>
      <c r="F41" s="107"/>
      <c r="G41" s="107"/>
      <c r="H41" s="107"/>
    </row>
    <row r="42" spans="1:9" s="88" customFormat="1" ht="15">
      <c r="A42" s="107"/>
      <c r="B42" s="107"/>
      <c r="C42" s="107"/>
      <c r="D42" s="107"/>
      <c r="E42" s="107"/>
      <c r="F42" s="107"/>
      <c r="G42" s="107"/>
      <c r="H42" s="107"/>
    </row>
    <row r="43" spans="1:9" s="88" customFormat="1" ht="15">
      <c r="A43" s="107"/>
      <c r="B43" s="107"/>
      <c r="C43" s="107"/>
      <c r="D43" s="107"/>
      <c r="E43" s="333" t="s">
        <v>8</v>
      </c>
      <c r="F43" s="333"/>
      <c r="G43" s="108"/>
      <c r="H43" s="107"/>
    </row>
    <row r="44" spans="1:9" s="88" customFormat="1" ht="16.5" customHeight="1">
      <c r="A44" s="334" t="s">
        <v>117</v>
      </c>
      <c r="B44" s="335"/>
      <c r="C44" s="334" t="s">
        <v>118</v>
      </c>
      <c r="D44" s="336"/>
      <c r="E44" s="335"/>
      <c r="F44" s="334" t="s">
        <v>119</v>
      </c>
      <c r="G44" s="336"/>
      <c r="H44" s="335"/>
    </row>
    <row r="45" spans="1:9" s="88" customFormat="1">
      <c r="A45" s="337" t="s">
        <v>215</v>
      </c>
      <c r="B45" s="338"/>
      <c r="C45" s="339" t="s">
        <v>120</v>
      </c>
      <c r="D45" s="340"/>
      <c r="E45" s="340"/>
      <c r="F45" s="339" t="s">
        <v>121</v>
      </c>
      <c r="G45" s="340"/>
      <c r="H45" s="340"/>
      <c r="I45" s="109"/>
    </row>
    <row r="46" spans="1:9" s="88" customFormat="1">
      <c r="A46" s="341" t="s">
        <v>122</v>
      </c>
      <c r="B46" s="342"/>
      <c r="C46" s="110" t="s">
        <v>123</v>
      </c>
      <c r="D46" s="111"/>
      <c r="E46" s="111"/>
      <c r="F46" s="110" t="s">
        <v>124</v>
      </c>
      <c r="G46" s="111"/>
      <c r="H46" s="112"/>
    </row>
    <row r="47" spans="1:9" s="88" customFormat="1">
      <c r="A47" s="109"/>
      <c r="B47" s="113"/>
      <c r="C47" s="109"/>
      <c r="D47" s="114"/>
      <c r="E47" s="113"/>
      <c r="F47" s="109"/>
      <c r="G47" s="114"/>
      <c r="H47" s="113"/>
    </row>
    <row r="48" spans="1:9" s="88" customFormat="1">
      <c r="A48" s="109"/>
      <c r="B48" s="113"/>
      <c r="C48" s="109"/>
      <c r="D48" s="114"/>
      <c r="E48" s="113"/>
      <c r="F48" s="109"/>
      <c r="G48" s="114"/>
      <c r="H48" s="113"/>
    </row>
    <row r="49" spans="1:11">
      <c r="A49" s="115"/>
      <c r="B49" s="115"/>
      <c r="C49" s="115"/>
      <c r="D49" s="115"/>
      <c r="E49" s="115"/>
      <c r="F49" s="115"/>
      <c r="G49" s="115"/>
      <c r="H49" s="115"/>
      <c r="I49" s="116"/>
      <c r="J49" s="116"/>
      <c r="K49" s="116"/>
    </row>
    <row r="50" spans="1:11">
      <c r="A50" s="115"/>
      <c r="B50" s="115"/>
      <c r="C50" s="115"/>
      <c r="D50" s="115"/>
      <c r="E50" s="115"/>
      <c r="F50" s="115"/>
      <c r="G50" s="115"/>
      <c r="H50" s="115"/>
      <c r="I50" s="116"/>
      <c r="J50" s="116"/>
      <c r="K50" s="116"/>
    </row>
    <row r="51" spans="1:11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1:11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</row>
    <row r="53" spans="1:11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</row>
    <row r="54" spans="1:11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</row>
    <row r="55" spans="1:11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</row>
    <row r="56" spans="1:11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</row>
    <row r="57" spans="1:11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</row>
    <row r="58" spans="1:11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</row>
    <row r="59" spans="1:11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</row>
    <row r="60" spans="1:11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</row>
    <row r="61" spans="1:11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1:11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</row>
    <row r="63" spans="1:11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</row>
    <row r="64" spans="1:11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</row>
    <row r="65" spans="1:11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1:11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1:11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1:11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</row>
    <row r="69" spans="1:1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</row>
    <row r="70" spans="1:11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</row>
    <row r="71" spans="1:1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</row>
    <row r="72" spans="1:11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</row>
    <row r="73" spans="1:11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</row>
    <row r="74" spans="1:11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</row>
    <row r="76" spans="1:11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</row>
    <row r="77" spans="1:11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</row>
    <row r="78" spans="1:1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</row>
    <row r="79" spans="1:1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</row>
    <row r="80" spans="1:11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</row>
    <row r="81" spans="1:11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</row>
    <row r="82" spans="1:11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</row>
    <row r="83" spans="1:11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</row>
    <row r="84" spans="1:11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</row>
    <row r="85" spans="1:11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</row>
    <row r="86" spans="1:11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</row>
    <row r="87" spans="1:11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</row>
    <row r="88" spans="1:1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</row>
    <row r="89" spans="1:11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</row>
    <row r="90" spans="1:11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</row>
    <row r="91" spans="1:11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</row>
    <row r="92" spans="1:11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</row>
    <row r="93" spans="1:11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</row>
    <row r="94" spans="1:11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</row>
    <row r="95" spans="1:11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</row>
    <row r="96" spans="1:11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</row>
    <row r="97" spans="1:11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</row>
    <row r="98" spans="1:11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</row>
    <row r="99" spans="1:11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</row>
    <row r="100" spans="1:11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</row>
    <row r="101" spans="1:11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</row>
    <row r="102" spans="1:11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</row>
    <row r="103" spans="1:11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</row>
    <row r="104" spans="1:11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</row>
    <row r="105" spans="1:11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</row>
    <row r="106" spans="1:11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</row>
    <row r="107" spans="1:11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</row>
    <row r="108" spans="1:11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</row>
    <row r="109" spans="1:11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</row>
    <row r="110" spans="1:11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</row>
    <row r="111" spans="1:11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</row>
    <row r="112" spans="1:11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</row>
    <row r="113" spans="1:11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</row>
    <row r="114" spans="1:11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</row>
    <row r="115" spans="1:11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</row>
    <row r="116" spans="1:11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</row>
    <row r="117" spans="1:11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</row>
    <row r="118" spans="1:11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</row>
    <row r="119" spans="1:11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</row>
    <row r="120" spans="1:11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</row>
    <row r="121" spans="1:11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</row>
    <row r="122" spans="1:11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</row>
    <row r="123" spans="1:11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</row>
    <row r="124" spans="1:11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</row>
    <row r="125" spans="1:11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</row>
    <row r="126" spans="1:11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</row>
    <row r="127" spans="1:11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</row>
    <row r="128" spans="1:11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</row>
    <row r="129" spans="1:11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</row>
    <row r="130" spans="1:11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</row>
    <row r="131" spans="1:11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</row>
    <row r="132" spans="1:11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</row>
  </sheetData>
  <mergeCells count="46">
    <mergeCell ref="A45:B45"/>
    <mergeCell ref="C45:E45"/>
    <mergeCell ref="F45:H45"/>
    <mergeCell ref="A46:B46"/>
    <mergeCell ref="E39:F39"/>
    <mergeCell ref="G39:H39"/>
    <mergeCell ref="E43:F43"/>
    <mergeCell ref="A44:B44"/>
    <mergeCell ref="C44:E44"/>
    <mergeCell ref="F44:H44"/>
    <mergeCell ref="A37:D37"/>
    <mergeCell ref="E37:H37"/>
    <mergeCell ref="A38:B38"/>
    <mergeCell ref="C38:D38"/>
    <mergeCell ref="E38:F38"/>
    <mergeCell ref="G38:H38"/>
    <mergeCell ref="A27:D27"/>
    <mergeCell ref="G31:H31"/>
    <mergeCell ref="G32:H32"/>
    <mergeCell ref="A34:H34"/>
    <mergeCell ref="A36:D36"/>
    <mergeCell ref="E36:H36"/>
    <mergeCell ref="A21:C21"/>
    <mergeCell ref="A22:C22"/>
    <mergeCell ref="A23:C23"/>
    <mergeCell ref="A24:G24"/>
    <mergeCell ref="A26:F26"/>
    <mergeCell ref="G26:H26"/>
    <mergeCell ref="A20:C20"/>
    <mergeCell ref="A13:C14"/>
    <mergeCell ref="D13:D14"/>
    <mergeCell ref="E13:E14"/>
    <mergeCell ref="F13:F14"/>
    <mergeCell ref="A15:C15"/>
    <mergeCell ref="A16:C16"/>
    <mergeCell ref="A17:C17"/>
    <mergeCell ref="A18:C18"/>
    <mergeCell ref="A19:C19"/>
    <mergeCell ref="G13:G14"/>
    <mergeCell ref="H13:H14"/>
    <mergeCell ref="A1:A2"/>
    <mergeCell ref="G1:H1"/>
    <mergeCell ref="C2:F2"/>
    <mergeCell ref="G2:H2"/>
    <mergeCell ref="G3:H3"/>
    <mergeCell ref="G4:H4"/>
  </mergeCells>
  <pageMargins left="0" right="0" top="0.5" bottom="0.25" header="0.3" footer="0.3"/>
  <pageSetup paperSize="9" scale="8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28"/>
  <sheetViews>
    <sheetView tabSelected="1" workbookViewId="0">
      <selection activeCell="D18" sqref="D18"/>
    </sheetView>
  </sheetViews>
  <sheetFormatPr defaultRowHeight="12.75"/>
  <cols>
    <col min="1" max="1" width="23.5703125" customWidth="1"/>
    <col min="2" max="2" width="6" customWidth="1"/>
    <col min="3" max="3" width="18" customWidth="1"/>
    <col min="4" max="4" width="13.140625" customWidth="1"/>
    <col min="5" max="5" width="12.28515625" customWidth="1"/>
    <col min="6" max="6" width="15.42578125" customWidth="1"/>
    <col min="7" max="7" width="14.42578125" customWidth="1"/>
    <col min="8" max="8" width="22.42578125" customWidth="1"/>
    <col min="9" max="9" width="16.5703125" bestFit="1" customWidth="1"/>
    <col min="10" max="10" width="15.85546875" bestFit="1" customWidth="1"/>
    <col min="257" max="257" width="23.5703125" customWidth="1"/>
    <col min="258" max="258" width="6" customWidth="1"/>
    <col min="259" max="259" width="16.5703125" customWidth="1"/>
    <col min="260" max="260" width="16.42578125" customWidth="1"/>
    <col min="261" max="261" width="14.7109375" customWidth="1"/>
    <col min="262" max="262" width="15.42578125" customWidth="1"/>
    <col min="263" max="263" width="14.42578125" customWidth="1"/>
    <col min="264" max="264" width="22.42578125" customWidth="1"/>
    <col min="265" max="265" width="16.5703125" bestFit="1" customWidth="1"/>
    <col min="266" max="266" width="15.85546875" bestFit="1" customWidth="1"/>
    <col min="513" max="513" width="23.5703125" customWidth="1"/>
    <col min="514" max="514" width="6" customWidth="1"/>
    <col min="515" max="515" width="16.5703125" customWidth="1"/>
    <col min="516" max="516" width="16.42578125" customWidth="1"/>
    <col min="517" max="517" width="14.7109375" customWidth="1"/>
    <col min="518" max="518" width="15.42578125" customWidth="1"/>
    <col min="519" max="519" width="14.42578125" customWidth="1"/>
    <col min="520" max="520" width="22.42578125" customWidth="1"/>
    <col min="521" max="521" width="16.5703125" bestFit="1" customWidth="1"/>
    <col min="522" max="522" width="15.85546875" bestFit="1" customWidth="1"/>
    <col min="769" max="769" width="23.5703125" customWidth="1"/>
    <col min="770" max="770" width="6" customWidth="1"/>
    <col min="771" max="771" width="16.5703125" customWidth="1"/>
    <col min="772" max="772" width="16.42578125" customWidth="1"/>
    <col min="773" max="773" width="14.7109375" customWidth="1"/>
    <col min="774" max="774" width="15.42578125" customWidth="1"/>
    <col min="775" max="775" width="14.42578125" customWidth="1"/>
    <col min="776" max="776" width="22.42578125" customWidth="1"/>
    <col min="777" max="777" width="16.5703125" bestFit="1" customWidth="1"/>
    <col min="778" max="778" width="15.85546875" bestFit="1" customWidth="1"/>
    <col min="1025" max="1025" width="23.5703125" customWidth="1"/>
    <col min="1026" max="1026" width="6" customWidth="1"/>
    <col min="1027" max="1027" width="16.5703125" customWidth="1"/>
    <col min="1028" max="1028" width="16.42578125" customWidth="1"/>
    <col min="1029" max="1029" width="14.7109375" customWidth="1"/>
    <col min="1030" max="1030" width="15.42578125" customWidth="1"/>
    <col min="1031" max="1031" width="14.42578125" customWidth="1"/>
    <col min="1032" max="1032" width="22.42578125" customWidth="1"/>
    <col min="1033" max="1033" width="16.5703125" bestFit="1" customWidth="1"/>
    <col min="1034" max="1034" width="15.85546875" bestFit="1" customWidth="1"/>
    <col min="1281" max="1281" width="23.5703125" customWidth="1"/>
    <col min="1282" max="1282" width="6" customWidth="1"/>
    <col min="1283" max="1283" width="16.5703125" customWidth="1"/>
    <col min="1284" max="1284" width="16.42578125" customWidth="1"/>
    <col min="1285" max="1285" width="14.7109375" customWidth="1"/>
    <col min="1286" max="1286" width="15.42578125" customWidth="1"/>
    <col min="1287" max="1287" width="14.42578125" customWidth="1"/>
    <col min="1288" max="1288" width="22.42578125" customWidth="1"/>
    <col min="1289" max="1289" width="16.5703125" bestFit="1" customWidth="1"/>
    <col min="1290" max="1290" width="15.85546875" bestFit="1" customWidth="1"/>
    <col min="1537" max="1537" width="23.5703125" customWidth="1"/>
    <col min="1538" max="1538" width="6" customWidth="1"/>
    <col min="1539" max="1539" width="16.5703125" customWidth="1"/>
    <col min="1540" max="1540" width="16.42578125" customWidth="1"/>
    <col min="1541" max="1541" width="14.7109375" customWidth="1"/>
    <col min="1542" max="1542" width="15.42578125" customWidth="1"/>
    <col min="1543" max="1543" width="14.42578125" customWidth="1"/>
    <col min="1544" max="1544" width="22.42578125" customWidth="1"/>
    <col min="1545" max="1545" width="16.5703125" bestFit="1" customWidth="1"/>
    <col min="1546" max="1546" width="15.85546875" bestFit="1" customWidth="1"/>
    <col min="1793" max="1793" width="23.5703125" customWidth="1"/>
    <col min="1794" max="1794" width="6" customWidth="1"/>
    <col min="1795" max="1795" width="16.5703125" customWidth="1"/>
    <col min="1796" max="1796" width="16.42578125" customWidth="1"/>
    <col min="1797" max="1797" width="14.7109375" customWidth="1"/>
    <col min="1798" max="1798" width="15.42578125" customWidth="1"/>
    <col min="1799" max="1799" width="14.42578125" customWidth="1"/>
    <col min="1800" max="1800" width="22.42578125" customWidth="1"/>
    <col min="1801" max="1801" width="16.5703125" bestFit="1" customWidth="1"/>
    <col min="1802" max="1802" width="15.85546875" bestFit="1" customWidth="1"/>
    <col min="2049" max="2049" width="23.5703125" customWidth="1"/>
    <col min="2050" max="2050" width="6" customWidth="1"/>
    <col min="2051" max="2051" width="16.5703125" customWidth="1"/>
    <col min="2052" max="2052" width="16.42578125" customWidth="1"/>
    <col min="2053" max="2053" width="14.7109375" customWidth="1"/>
    <col min="2054" max="2054" width="15.42578125" customWidth="1"/>
    <col min="2055" max="2055" width="14.42578125" customWidth="1"/>
    <col min="2056" max="2056" width="22.42578125" customWidth="1"/>
    <col min="2057" max="2057" width="16.5703125" bestFit="1" customWidth="1"/>
    <col min="2058" max="2058" width="15.85546875" bestFit="1" customWidth="1"/>
    <col min="2305" max="2305" width="23.5703125" customWidth="1"/>
    <col min="2306" max="2306" width="6" customWidth="1"/>
    <col min="2307" max="2307" width="16.5703125" customWidth="1"/>
    <col min="2308" max="2308" width="16.42578125" customWidth="1"/>
    <col min="2309" max="2309" width="14.7109375" customWidth="1"/>
    <col min="2310" max="2310" width="15.42578125" customWidth="1"/>
    <col min="2311" max="2311" width="14.42578125" customWidth="1"/>
    <col min="2312" max="2312" width="22.42578125" customWidth="1"/>
    <col min="2313" max="2313" width="16.5703125" bestFit="1" customWidth="1"/>
    <col min="2314" max="2314" width="15.85546875" bestFit="1" customWidth="1"/>
    <col min="2561" max="2561" width="23.5703125" customWidth="1"/>
    <col min="2562" max="2562" width="6" customWidth="1"/>
    <col min="2563" max="2563" width="16.5703125" customWidth="1"/>
    <col min="2564" max="2564" width="16.42578125" customWidth="1"/>
    <col min="2565" max="2565" width="14.7109375" customWidth="1"/>
    <col min="2566" max="2566" width="15.42578125" customWidth="1"/>
    <col min="2567" max="2567" width="14.42578125" customWidth="1"/>
    <col min="2568" max="2568" width="22.42578125" customWidth="1"/>
    <col min="2569" max="2569" width="16.5703125" bestFit="1" customWidth="1"/>
    <col min="2570" max="2570" width="15.85546875" bestFit="1" customWidth="1"/>
    <col min="2817" max="2817" width="23.5703125" customWidth="1"/>
    <col min="2818" max="2818" width="6" customWidth="1"/>
    <col min="2819" max="2819" width="16.5703125" customWidth="1"/>
    <col min="2820" max="2820" width="16.42578125" customWidth="1"/>
    <col min="2821" max="2821" width="14.7109375" customWidth="1"/>
    <col min="2822" max="2822" width="15.42578125" customWidth="1"/>
    <col min="2823" max="2823" width="14.42578125" customWidth="1"/>
    <col min="2824" max="2824" width="22.42578125" customWidth="1"/>
    <col min="2825" max="2825" width="16.5703125" bestFit="1" customWidth="1"/>
    <col min="2826" max="2826" width="15.85546875" bestFit="1" customWidth="1"/>
    <col min="3073" max="3073" width="23.5703125" customWidth="1"/>
    <col min="3074" max="3074" width="6" customWidth="1"/>
    <col min="3075" max="3075" width="16.5703125" customWidth="1"/>
    <col min="3076" max="3076" width="16.42578125" customWidth="1"/>
    <col min="3077" max="3077" width="14.7109375" customWidth="1"/>
    <col min="3078" max="3078" width="15.42578125" customWidth="1"/>
    <col min="3079" max="3079" width="14.42578125" customWidth="1"/>
    <col min="3080" max="3080" width="22.42578125" customWidth="1"/>
    <col min="3081" max="3081" width="16.5703125" bestFit="1" customWidth="1"/>
    <col min="3082" max="3082" width="15.85546875" bestFit="1" customWidth="1"/>
    <col min="3329" max="3329" width="23.5703125" customWidth="1"/>
    <col min="3330" max="3330" width="6" customWidth="1"/>
    <col min="3331" max="3331" width="16.5703125" customWidth="1"/>
    <col min="3332" max="3332" width="16.42578125" customWidth="1"/>
    <col min="3333" max="3333" width="14.7109375" customWidth="1"/>
    <col min="3334" max="3334" width="15.42578125" customWidth="1"/>
    <col min="3335" max="3335" width="14.42578125" customWidth="1"/>
    <col min="3336" max="3336" width="22.42578125" customWidth="1"/>
    <col min="3337" max="3337" width="16.5703125" bestFit="1" customWidth="1"/>
    <col min="3338" max="3338" width="15.85546875" bestFit="1" customWidth="1"/>
    <col min="3585" max="3585" width="23.5703125" customWidth="1"/>
    <col min="3586" max="3586" width="6" customWidth="1"/>
    <col min="3587" max="3587" width="16.5703125" customWidth="1"/>
    <col min="3588" max="3588" width="16.42578125" customWidth="1"/>
    <col min="3589" max="3589" width="14.7109375" customWidth="1"/>
    <col min="3590" max="3590" width="15.42578125" customWidth="1"/>
    <col min="3591" max="3591" width="14.42578125" customWidth="1"/>
    <col min="3592" max="3592" width="22.42578125" customWidth="1"/>
    <col min="3593" max="3593" width="16.5703125" bestFit="1" customWidth="1"/>
    <col min="3594" max="3594" width="15.85546875" bestFit="1" customWidth="1"/>
    <col min="3841" max="3841" width="23.5703125" customWidth="1"/>
    <col min="3842" max="3842" width="6" customWidth="1"/>
    <col min="3843" max="3843" width="16.5703125" customWidth="1"/>
    <col min="3844" max="3844" width="16.42578125" customWidth="1"/>
    <col min="3845" max="3845" width="14.7109375" customWidth="1"/>
    <col min="3846" max="3846" width="15.42578125" customWidth="1"/>
    <col min="3847" max="3847" width="14.42578125" customWidth="1"/>
    <col min="3848" max="3848" width="22.42578125" customWidth="1"/>
    <col min="3849" max="3849" width="16.5703125" bestFit="1" customWidth="1"/>
    <col min="3850" max="3850" width="15.85546875" bestFit="1" customWidth="1"/>
    <col min="4097" max="4097" width="23.5703125" customWidth="1"/>
    <col min="4098" max="4098" width="6" customWidth="1"/>
    <col min="4099" max="4099" width="16.5703125" customWidth="1"/>
    <col min="4100" max="4100" width="16.42578125" customWidth="1"/>
    <col min="4101" max="4101" width="14.7109375" customWidth="1"/>
    <col min="4102" max="4102" width="15.42578125" customWidth="1"/>
    <col min="4103" max="4103" width="14.42578125" customWidth="1"/>
    <col min="4104" max="4104" width="22.42578125" customWidth="1"/>
    <col min="4105" max="4105" width="16.5703125" bestFit="1" customWidth="1"/>
    <col min="4106" max="4106" width="15.85546875" bestFit="1" customWidth="1"/>
    <col min="4353" max="4353" width="23.5703125" customWidth="1"/>
    <col min="4354" max="4354" width="6" customWidth="1"/>
    <col min="4355" max="4355" width="16.5703125" customWidth="1"/>
    <col min="4356" max="4356" width="16.42578125" customWidth="1"/>
    <col min="4357" max="4357" width="14.7109375" customWidth="1"/>
    <col min="4358" max="4358" width="15.42578125" customWidth="1"/>
    <col min="4359" max="4359" width="14.42578125" customWidth="1"/>
    <col min="4360" max="4360" width="22.42578125" customWidth="1"/>
    <col min="4361" max="4361" width="16.5703125" bestFit="1" customWidth="1"/>
    <col min="4362" max="4362" width="15.85546875" bestFit="1" customWidth="1"/>
    <col min="4609" max="4609" width="23.5703125" customWidth="1"/>
    <col min="4610" max="4610" width="6" customWidth="1"/>
    <col min="4611" max="4611" width="16.5703125" customWidth="1"/>
    <col min="4612" max="4612" width="16.42578125" customWidth="1"/>
    <col min="4613" max="4613" width="14.7109375" customWidth="1"/>
    <col min="4614" max="4614" width="15.42578125" customWidth="1"/>
    <col min="4615" max="4615" width="14.42578125" customWidth="1"/>
    <col min="4616" max="4616" width="22.42578125" customWidth="1"/>
    <col min="4617" max="4617" width="16.5703125" bestFit="1" customWidth="1"/>
    <col min="4618" max="4618" width="15.85546875" bestFit="1" customWidth="1"/>
    <col min="4865" max="4865" width="23.5703125" customWidth="1"/>
    <col min="4866" max="4866" width="6" customWidth="1"/>
    <col min="4867" max="4867" width="16.5703125" customWidth="1"/>
    <col min="4868" max="4868" width="16.42578125" customWidth="1"/>
    <col min="4869" max="4869" width="14.7109375" customWidth="1"/>
    <col min="4870" max="4870" width="15.42578125" customWidth="1"/>
    <col min="4871" max="4871" width="14.42578125" customWidth="1"/>
    <col min="4872" max="4872" width="22.42578125" customWidth="1"/>
    <col min="4873" max="4873" width="16.5703125" bestFit="1" customWidth="1"/>
    <col min="4874" max="4874" width="15.85546875" bestFit="1" customWidth="1"/>
    <col min="5121" max="5121" width="23.5703125" customWidth="1"/>
    <col min="5122" max="5122" width="6" customWidth="1"/>
    <col min="5123" max="5123" width="16.5703125" customWidth="1"/>
    <col min="5124" max="5124" width="16.42578125" customWidth="1"/>
    <col min="5125" max="5125" width="14.7109375" customWidth="1"/>
    <col min="5126" max="5126" width="15.42578125" customWidth="1"/>
    <col min="5127" max="5127" width="14.42578125" customWidth="1"/>
    <col min="5128" max="5128" width="22.42578125" customWidth="1"/>
    <col min="5129" max="5129" width="16.5703125" bestFit="1" customWidth="1"/>
    <col min="5130" max="5130" width="15.85546875" bestFit="1" customWidth="1"/>
    <col min="5377" max="5377" width="23.5703125" customWidth="1"/>
    <col min="5378" max="5378" width="6" customWidth="1"/>
    <col min="5379" max="5379" width="16.5703125" customWidth="1"/>
    <col min="5380" max="5380" width="16.42578125" customWidth="1"/>
    <col min="5381" max="5381" width="14.7109375" customWidth="1"/>
    <col min="5382" max="5382" width="15.42578125" customWidth="1"/>
    <col min="5383" max="5383" width="14.42578125" customWidth="1"/>
    <col min="5384" max="5384" width="22.42578125" customWidth="1"/>
    <col min="5385" max="5385" width="16.5703125" bestFit="1" customWidth="1"/>
    <col min="5386" max="5386" width="15.85546875" bestFit="1" customWidth="1"/>
    <col min="5633" max="5633" width="23.5703125" customWidth="1"/>
    <col min="5634" max="5634" width="6" customWidth="1"/>
    <col min="5635" max="5635" width="16.5703125" customWidth="1"/>
    <col min="5636" max="5636" width="16.42578125" customWidth="1"/>
    <col min="5637" max="5637" width="14.7109375" customWidth="1"/>
    <col min="5638" max="5638" width="15.42578125" customWidth="1"/>
    <col min="5639" max="5639" width="14.42578125" customWidth="1"/>
    <col min="5640" max="5640" width="22.42578125" customWidth="1"/>
    <col min="5641" max="5641" width="16.5703125" bestFit="1" customWidth="1"/>
    <col min="5642" max="5642" width="15.85546875" bestFit="1" customWidth="1"/>
    <col min="5889" max="5889" width="23.5703125" customWidth="1"/>
    <col min="5890" max="5890" width="6" customWidth="1"/>
    <col min="5891" max="5891" width="16.5703125" customWidth="1"/>
    <col min="5892" max="5892" width="16.42578125" customWidth="1"/>
    <col min="5893" max="5893" width="14.7109375" customWidth="1"/>
    <col min="5894" max="5894" width="15.42578125" customWidth="1"/>
    <col min="5895" max="5895" width="14.42578125" customWidth="1"/>
    <col min="5896" max="5896" width="22.42578125" customWidth="1"/>
    <col min="5897" max="5897" width="16.5703125" bestFit="1" customWidth="1"/>
    <col min="5898" max="5898" width="15.85546875" bestFit="1" customWidth="1"/>
    <col min="6145" max="6145" width="23.5703125" customWidth="1"/>
    <col min="6146" max="6146" width="6" customWidth="1"/>
    <col min="6147" max="6147" width="16.5703125" customWidth="1"/>
    <col min="6148" max="6148" width="16.42578125" customWidth="1"/>
    <col min="6149" max="6149" width="14.7109375" customWidth="1"/>
    <col min="6150" max="6150" width="15.42578125" customWidth="1"/>
    <col min="6151" max="6151" width="14.42578125" customWidth="1"/>
    <col min="6152" max="6152" width="22.42578125" customWidth="1"/>
    <col min="6153" max="6153" width="16.5703125" bestFit="1" customWidth="1"/>
    <col min="6154" max="6154" width="15.85546875" bestFit="1" customWidth="1"/>
    <col min="6401" max="6401" width="23.5703125" customWidth="1"/>
    <col min="6402" max="6402" width="6" customWidth="1"/>
    <col min="6403" max="6403" width="16.5703125" customWidth="1"/>
    <col min="6404" max="6404" width="16.42578125" customWidth="1"/>
    <col min="6405" max="6405" width="14.7109375" customWidth="1"/>
    <col min="6406" max="6406" width="15.42578125" customWidth="1"/>
    <col min="6407" max="6407" width="14.42578125" customWidth="1"/>
    <col min="6408" max="6408" width="22.42578125" customWidth="1"/>
    <col min="6409" max="6409" width="16.5703125" bestFit="1" customWidth="1"/>
    <col min="6410" max="6410" width="15.85546875" bestFit="1" customWidth="1"/>
    <col min="6657" max="6657" width="23.5703125" customWidth="1"/>
    <col min="6658" max="6658" width="6" customWidth="1"/>
    <col min="6659" max="6659" width="16.5703125" customWidth="1"/>
    <col min="6660" max="6660" width="16.42578125" customWidth="1"/>
    <col min="6661" max="6661" width="14.7109375" customWidth="1"/>
    <col min="6662" max="6662" width="15.42578125" customWidth="1"/>
    <col min="6663" max="6663" width="14.42578125" customWidth="1"/>
    <col min="6664" max="6664" width="22.42578125" customWidth="1"/>
    <col min="6665" max="6665" width="16.5703125" bestFit="1" customWidth="1"/>
    <col min="6666" max="6666" width="15.85546875" bestFit="1" customWidth="1"/>
    <col min="6913" max="6913" width="23.5703125" customWidth="1"/>
    <col min="6914" max="6914" width="6" customWidth="1"/>
    <col min="6915" max="6915" width="16.5703125" customWidth="1"/>
    <col min="6916" max="6916" width="16.42578125" customWidth="1"/>
    <col min="6917" max="6917" width="14.7109375" customWidth="1"/>
    <col min="6918" max="6918" width="15.42578125" customWidth="1"/>
    <col min="6919" max="6919" width="14.42578125" customWidth="1"/>
    <col min="6920" max="6920" width="22.42578125" customWidth="1"/>
    <col min="6921" max="6921" width="16.5703125" bestFit="1" customWidth="1"/>
    <col min="6922" max="6922" width="15.85546875" bestFit="1" customWidth="1"/>
    <col min="7169" max="7169" width="23.5703125" customWidth="1"/>
    <col min="7170" max="7170" width="6" customWidth="1"/>
    <col min="7171" max="7171" width="16.5703125" customWidth="1"/>
    <col min="7172" max="7172" width="16.42578125" customWidth="1"/>
    <col min="7173" max="7173" width="14.7109375" customWidth="1"/>
    <col min="7174" max="7174" width="15.42578125" customWidth="1"/>
    <col min="7175" max="7175" width="14.42578125" customWidth="1"/>
    <col min="7176" max="7176" width="22.42578125" customWidth="1"/>
    <col min="7177" max="7177" width="16.5703125" bestFit="1" customWidth="1"/>
    <col min="7178" max="7178" width="15.85546875" bestFit="1" customWidth="1"/>
    <col min="7425" max="7425" width="23.5703125" customWidth="1"/>
    <col min="7426" max="7426" width="6" customWidth="1"/>
    <col min="7427" max="7427" width="16.5703125" customWidth="1"/>
    <col min="7428" max="7428" width="16.42578125" customWidth="1"/>
    <col min="7429" max="7429" width="14.7109375" customWidth="1"/>
    <col min="7430" max="7430" width="15.42578125" customWidth="1"/>
    <col min="7431" max="7431" width="14.42578125" customWidth="1"/>
    <col min="7432" max="7432" width="22.42578125" customWidth="1"/>
    <col min="7433" max="7433" width="16.5703125" bestFit="1" customWidth="1"/>
    <col min="7434" max="7434" width="15.85546875" bestFit="1" customWidth="1"/>
    <col min="7681" max="7681" width="23.5703125" customWidth="1"/>
    <col min="7682" max="7682" width="6" customWidth="1"/>
    <col min="7683" max="7683" width="16.5703125" customWidth="1"/>
    <col min="7684" max="7684" width="16.42578125" customWidth="1"/>
    <col min="7685" max="7685" width="14.7109375" customWidth="1"/>
    <col min="7686" max="7686" width="15.42578125" customWidth="1"/>
    <col min="7687" max="7687" width="14.42578125" customWidth="1"/>
    <col min="7688" max="7688" width="22.42578125" customWidth="1"/>
    <col min="7689" max="7689" width="16.5703125" bestFit="1" customWidth="1"/>
    <col min="7690" max="7690" width="15.85546875" bestFit="1" customWidth="1"/>
    <col min="7937" max="7937" width="23.5703125" customWidth="1"/>
    <col min="7938" max="7938" width="6" customWidth="1"/>
    <col min="7939" max="7939" width="16.5703125" customWidth="1"/>
    <col min="7940" max="7940" width="16.42578125" customWidth="1"/>
    <col min="7941" max="7941" width="14.7109375" customWidth="1"/>
    <col min="7942" max="7942" width="15.42578125" customWidth="1"/>
    <col min="7943" max="7943" width="14.42578125" customWidth="1"/>
    <col min="7944" max="7944" width="22.42578125" customWidth="1"/>
    <col min="7945" max="7945" width="16.5703125" bestFit="1" customWidth="1"/>
    <col min="7946" max="7946" width="15.85546875" bestFit="1" customWidth="1"/>
    <col min="8193" max="8193" width="23.5703125" customWidth="1"/>
    <col min="8194" max="8194" width="6" customWidth="1"/>
    <col min="8195" max="8195" width="16.5703125" customWidth="1"/>
    <col min="8196" max="8196" width="16.42578125" customWidth="1"/>
    <col min="8197" max="8197" width="14.7109375" customWidth="1"/>
    <col min="8198" max="8198" width="15.42578125" customWidth="1"/>
    <col min="8199" max="8199" width="14.42578125" customWidth="1"/>
    <col min="8200" max="8200" width="22.42578125" customWidth="1"/>
    <col min="8201" max="8201" width="16.5703125" bestFit="1" customWidth="1"/>
    <col min="8202" max="8202" width="15.85546875" bestFit="1" customWidth="1"/>
    <col min="8449" max="8449" width="23.5703125" customWidth="1"/>
    <col min="8450" max="8450" width="6" customWidth="1"/>
    <col min="8451" max="8451" width="16.5703125" customWidth="1"/>
    <col min="8452" max="8452" width="16.42578125" customWidth="1"/>
    <col min="8453" max="8453" width="14.7109375" customWidth="1"/>
    <col min="8454" max="8454" width="15.42578125" customWidth="1"/>
    <col min="8455" max="8455" width="14.42578125" customWidth="1"/>
    <col min="8456" max="8456" width="22.42578125" customWidth="1"/>
    <col min="8457" max="8457" width="16.5703125" bestFit="1" customWidth="1"/>
    <col min="8458" max="8458" width="15.85546875" bestFit="1" customWidth="1"/>
    <col min="8705" max="8705" width="23.5703125" customWidth="1"/>
    <col min="8706" max="8706" width="6" customWidth="1"/>
    <col min="8707" max="8707" width="16.5703125" customWidth="1"/>
    <col min="8708" max="8708" width="16.42578125" customWidth="1"/>
    <col min="8709" max="8709" width="14.7109375" customWidth="1"/>
    <col min="8710" max="8710" width="15.42578125" customWidth="1"/>
    <col min="8711" max="8711" width="14.42578125" customWidth="1"/>
    <col min="8712" max="8712" width="22.42578125" customWidth="1"/>
    <col min="8713" max="8713" width="16.5703125" bestFit="1" customWidth="1"/>
    <col min="8714" max="8714" width="15.85546875" bestFit="1" customWidth="1"/>
    <col min="8961" max="8961" width="23.5703125" customWidth="1"/>
    <col min="8962" max="8962" width="6" customWidth="1"/>
    <col min="8963" max="8963" width="16.5703125" customWidth="1"/>
    <col min="8964" max="8964" width="16.42578125" customWidth="1"/>
    <col min="8965" max="8965" width="14.7109375" customWidth="1"/>
    <col min="8966" max="8966" width="15.42578125" customWidth="1"/>
    <col min="8967" max="8967" width="14.42578125" customWidth="1"/>
    <col min="8968" max="8968" width="22.42578125" customWidth="1"/>
    <col min="8969" max="8969" width="16.5703125" bestFit="1" customWidth="1"/>
    <col min="8970" max="8970" width="15.85546875" bestFit="1" customWidth="1"/>
    <col min="9217" max="9217" width="23.5703125" customWidth="1"/>
    <col min="9218" max="9218" width="6" customWidth="1"/>
    <col min="9219" max="9219" width="16.5703125" customWidth="1"/>
    <col min="9220" max="9220" width="16.42578125" customWidth="1"/>
    <col min="9221" max="9221" width="14.7109375" customWidth="1"/>
    <col min="9222" max="9222" width="15.42578125" customWidth="1"/>
    <col min="9223" max="9223" width="14.42578125" customWidth="1"/>
    <col min="9224" max="9224" width="22.42578125" customWidth="1"/>
    <col min="9225" max="9225" width="16.5703125" bestFit="1" customWidth="1"/>
    <col min="9226" max="9226" width="15.85546875" bestFit="1" customWidth="1"/>
    <col min="9473" max="9473" width="23.5703125" customWidth="1"/>
    <col min="9474" max="9474" width="6" customWidth="1"/>
    <col min="9475" max="9475" width="16.5703125" customWidth="1"/>
    <col min="9476" max="9476" width="16.42578125" customWidth="1"/>
    <col min="9477" max="9477" width="14.7109375" customWidth="1"/>
    <col min="9478" max="9478" width="15.42578125" customWidth="1"/>
    <col min="9479" max="9479" width="14.42578125" customWidth="1"/>
    <col min="9480" max="9480" width="22.42578125" customWidth="1"/>
    <col min="9481" max="9481" width="16.5703125" bestFit="1" customWidth="1"/>
    <col min="9482" max="9482" width="15.85546875" bestFit="1" customWidth="1"/>
    <col min="9729" max="9729" width="23.5703125" customWidth="1"/>
    <col min="9730" max="9730" width="6" customWidth="1"/>
    <col min="9731" max="9731" width="16.5703125" customWidth="1"/>
    <col min="9732" max="9732" width="16.42578125" customWidth="1"/>
    <col min="9733" max="9733" width="14.7109375" customWidth="1"/>
    <col min="9734" max="9734" width="15.42578125" customWidth="1"/>
    <col min="9735" max="9735" width="14.42578125" customWidth="1"/>
    <col min="9736" max="9736" width="22.42578125" customWidth="1"/>
    <col min="9737" max="9737" width="16.5703125" bestFit="1" customWidth="1"/>
    <col min="9738" max="9738" width="15.85546875" bestFit="1" customWidth="1"/>
    <col min="9985" max="9985" width="23.5703125" customWidth="1"/>
    <col min="9986" max="9986" width="6" customWidth="1"/>
    <col min="9987" max="9987" width="16.5703125" customWidth="1"/>
    <col min="9988" max="9988" width="16.42578125" customWidth="1"/>
    <col min="9989" max="9989" width="14.7109375" customWidth="1"/>
    <col min="9990" max="9990" width="15.42578125" customWidth="1"/>
    <col min="9991" max="9991" width="14.42578125" customWidth="1"/>
    <col min="9992" max="9992" width="22.42578125" customWidth="1"/>
    <col min="9993" max="9993" width="16.5703125" bestFit="1" customWidth="1"/>
    <col min="9994" max="9994" width="15.85546875" bestFit="1" customWidth="1"/>
    <col min="10241" max="10241" width="23.5703125" customWidth="1"/>
    <col min="10242" max="10242" width="6" customWidth="1"/>
    <col min="10243" max="10243" width="16.5703125" customWidth="1"/>
    <col min="10244" max="10244" width="16.42578125" customWidth="1"/>
    <col min="10245" max="10245" width="14.7109375" customWidth="1"/>
    <col min="10246" max="10246" width="15.42578125" customWidth="1"/>
    <col min="10247" max="10247" width="14.42578125" customWidth="1"/>
    <col min="10248" max="10248" width="22.42578125" customWidth="1"/>
    <col min="10249" max="10249" width="16.5703125" bestFit="1" customWidth="1"/>
    <col min="10250" max="10250" width="15.85546875" bestFit="1" customWidth="1"/>
    <col min="10497" max="10497" width="23.5703125" customWidth="1"/>
    <col min="10498" max="10498" width="6" customWidth="1"/>
    <col min="10499" max="10499" width="16.5703125" customWidth="1"/>
    <col min="10500" max="10500" width="16.42578125" customWidth="1"/>
    <col min="10501" max="10501" width="14.7109375" customWidth="1"/>
    <col min="10502" max="10502" width="15.42578125" customWidth="1"/>
    <col min="10503" max="10503" width="14.42578125" customWidth="1"/>
    <col min="10504" max="10504" width="22.42578125" customWidth="1"/>
    <col min="10505" max="10505" width="16.5703125" bestFit="1" customWidth="1"/>
    <col min="10506" max="10506" width="15.85546875" bestFit="1" customWidth="1"/>
    <col min="10753" max="10753" width="23.5703125" customWidth="1"/>
    <col min="10754" max="10754" width="6" customWidth="1"/>
    <col min="10755" max="10755" width="16.5703125" customWidth="1"/>
    <col min="10756" max="10756" width="16.42578125" customWidth="1"/>
    <col min="10757" max="10757" width="14.7109375" customWidth="1"/>
    <col min="10758" max="10758" width="15.42578125" customWidth="1"/>
    <col min="10759" max="10759" width="14.42578125" customWidth="1"/>
    <col min="10760" max="10760" width="22.42578125" customWidth="1"/>
    <col min="10761" max="10761" width="16.5703125" bestFit="1" customWidth="1"/>
    <col min="10762" max="10762" width="15.85546875" bestFit="1" customWidth="1"/>
    <col min="11009" max="11009" width="23.5703125" customWidth="1"/>
    <col min="11010" max="11010" width="6" customWidth="1"/>
    <col min="11011" max="11011" width="16.5703125" customWidth="1"/>
    <col min="11012" max="11012" width="16.42578125" customWidth="1"/>
    <col min="11013" max="11013" width="14.7109375" customWidth="1"/>
    <col min="11014" max="11014" width="15.42578125" customWidth="1"/>
    <col min="11015" max="11015" width="14.42578125" customWidth="1"/>
    <col min="11016" max="11016" width="22.42578125" customWidth="1"/>
    <col min="11017" max="11017" width="16.5703125" bestFit="1" customWidth="1"/>
    <col min="11018" max="11018" width="15.85546875" bestFit="1" customWidth="1"/>
    <col min="11265" max="11265" width="23.5703125" customWidth="1"/>
    <col min="11266" max="11266" width="6" customWidth="1"/>
    <col min="11267" max="11267" width="16.5703125" customWidth="1"/>
    <col min="11268" max="11268" width="16.42578125" customWidth="1"/>
    <col min="11269" max="11269" width="14.7109375" customWidth="1"/>
    <col min="11270" max="11270" width="15.42578125" customWidth="1"/>
    <col min="11271" max="11271" width="14.42578125" customWidth="1"/>
    <col min="11272" max="11272" width="22.42578125" customWidth="1"/>
    <col min="11273" max="11273" width="16.5703125" bestFit="1" customWidth="1"/>
    <col min="11274" max="11274" width="15.85546875" bestFit="1" customWidth="1"/>
    <col min="11521" max="11521" width="23.5703125" customWidth="1"/>
    <col min="11522" max="11522" width="6" customWidth="1"/>
    <col min="11523" max="11523" width="16.5703125" customWidth="1"/>
    <col min="11524" max="11524" width="16.42578125" customWidth="1"/>
    <col min="11525" max="11525" width="14.7109375" customWidth="1"/>
    <col min="11526" max="11526" width="15.42578125" customWidth="1"/>
    <col min="11527" max="11527" width="14.42578125" customWidth="1"/>
    <col min="11528" max="11528" width="22.42578125" customWidth="1"/>
    <col min="11529" max="11529" width="16.5703125" bestFit="1" customWidth="1"/>
    <col min="11530" max="11530" width="15.85546875" bestFit="1" customWidth="1"/>
    <col min="11777" max="11777" width="23.5703125" customWidth="1"/>
    <col min="11778" max="11778" width="6" customWidth="1"/>
    <col min="11779" max="11779" width="16.5703125" customWidth="1"/>
    <col min="11780" max="11780" width="16.42578125" customWidth="1"/>
    <col min="11781" max="11781" width="14.7109375" customWidth="1"/>
    <col min="11782" max="11782" width="15.42578125" customWidth="1"/>
    <col min="11783" max="11783" width="14.42578125" customWidth="1"/>
    <col min="11784" max="11784" width="22.42578125" customWidth="1"/>
    <col min="11785" max="11785" width="16.5703125" bestFit="1" customWidth="1"/>
    <col min="11786" max="11786" width="15.85546875" bestFit="1" customWidth="1"/>
    <col min="12033" max="12033" width="23.5703125" customWidth="1"/>
    <col min="12034" max="12034" width="6" customWidth="1"/>
    <col min="12035" max="12035" width="16.5703125" customWidth="1"/>
    <col min="12036" max="12036" width="16.42578125" customWidth="1"/>
    <col min="12037" max="12037" width="14.7109375" customWidth="1"/>
    <col min="12038" max="12038" width="15.42578125" customWidth="1"/>
    <col min="12039" max="12039" width="14.42578125" customWidth="1"/>
    <col min="12040" max="12040" width="22.42578125" customWidth="1"/>
    <col min="12041" max="12041" width="16.5703125" bestFit="1" customWidth="1"/>
    <col min="12042" max="12042" width="15.85546875" bestFit="1" customWidth="1"/>
    <col min="12289" max="12289" width="23.5703125" customWidth="1"/>
    <col min="12290" max="12290" width="6" customWidth="1"/>
    <col min="12291" max="12291" width="16.5703125" customWidth="1"/>
    <col min="12292" max="12292" width="16.42578125" customWidth="1"/>
    <col min="12293" max="12293" width="14.7109375" customWidth="1"/>
    <col min="12294" max="12294" width="15.42578125" customWidth="1"/>
    <col min="12295" max="12295" width="14.42578125" customWidth="1"/>
    <col min="12296" max="12296" width="22.42578125" customWidth="1"/>
    <col min="12297" max="12297" width="16.5703125" bestFit="1" customWidth="1"/>
    <col min="12298" max="12298" width="15.85546875" bestFit="1" customWidth="1"/>
    <col min="12545" max="12545" width="23.5703125" customWidth="1"/>
    <col min="12546" max="12546" width="6" customWidth="1"/>
    <col min="12547" max="12547" width="16.5703125" customWidth="1"/>
    <col min="12548" max="12548" width="16.42578125" customWidth="1"/>
    <col min="12549" max="12549" width="14.7109375" customWidth="1"/>
    <col min="12550" max="12550" width="15.42578125" customWidth="1"/>
    <col min="12551" max="12551" width="14.42578125" customWidth="1"/>
    <col min="12552" max="12552" width="22.42578125" customWidth="1"/>
    <col min="12553" max="12553" width="16.5703125" bestFit="1" customWidth="1"/>
    <col min="12554" max="12554" width="15.85546875" bestFit="1" customWidth="1"/>
    <col min="12801" max="12801" width="23.5703125" customWidth="1"/>
    <col min="12802" max="12802" width="6" customWidth="1"/>
    <col min="12803" max="12803" width="16.5703125" customWidth="1"/>
    <col min="12804" max="12804" width="16.42578125" customWidth="1"/>
    <col min="12805" max="12805" width="14.7109375" customWidth="1"/>
    <col min="12806" max="12806" width="15.42578125" customWidth="1"/>
    <col min="12807" max="12807" width="14.42578125" customWidth="1"/>
    <col min="12808" max="12808" width="22.42578125" customWidth="1"/>
    <col min="12809" max="12809" width="16.5703125" bestFit="1" customWidth="1"/>
    <col min="12810" max="12810" width="15.85546875" bestFit="1" customWidth="1"/>
    <col min="13057" max="13057" width="23.5703125" customWidth="1"/>
    <col min="13058" max="13058" width="6" customWidth="1"/>
    <col min="13059" max="13059" width="16.5703125" customWidth="1"/>
    <col min="13060" max="13060" width="16.42578125" customWidth="1"/>
    <col min="13061" max="13061" width="14.7109375" customWidth="1"/>
    <col min="13062" max="13062" width="15.42578125" customWidth="1"/>
    <col min="13063" max="13063" width="14.42578125" customWidth="1"/>
    <col min="13064" max="13064" width="22.42578125" customWidth="1"/>
    <col min="13065" max="13065" width="16.5703125" bestFit="1" customWidth="1"/>
    <col min="13066" max="13066" width="15.85546875" bestFit="1" customWidth="1"/>
    <col min="13313" max="13313" width="23.5703125" customWidth="1"/>
    <col min="13314" max="13314" width="6" customWidth="1"/>
    <col min="13315" max="13315" width="16.5703125" customWidth="1"/>
    <col min="13316" max="13316" width="16.42578125" customWidth="1"/>
    <col min="13317" max="13317" width="14.7109375" customWidth="1"/>
    <col min="13318" max="13318" width="15.42578125" customWidth="1"/>
    <col min="13319" max="13319" width="14.42578125" customWidth="1"/>
    <col min="13320" max="13320" width="22.42578125" customWidth="1"/>
    <col min="13321" max="13321" width="16.5703125" bestFit="1" customWidth="1"/>
    <col min="13322" max="13322" width="15.85546875" bestFit="1" customWidth="1"/>
    <col min="13569" max="13569" width="23.5703125" customWidth="1"/>
    <col min="13570" max="13570" width="6" customWidth="1"/>
    <col min="13571" max="13571" width="16.5703125" customWidth="1"/>
    <col min="13572" max="13572" width="16.42578125" customWidth="1"/>
    <col min="13573" max="13573" width="14.7109375" customWidth="1"/>
    <col min="13574" max="13574" width="15.42578125" customWidth="1"/>
    <col min="13575" max="13575" width="14.42578125" customWidth="1"/>
    <col min="13576" max="13576" width="22.42578125" customWidth="1"/>
    <col min="13577" max="13577" width="16.5703125" bestFit="1" customWidth="1"/>
    <col min="13578" max="13578" width="15.85546875" bestFit="1" customWidth="1"/>
    <col min="13825" max="13825" width="23.5703125" customWidth="1"/>
    <col min="13826" max="13826" width="6" customWidth="1"/>
    <col min="13827" max="13827" width="16.5703125" customWidth="1"/>
    <col min="13828" max="13828" width="16.42578125" customWidth="1"/>
    <col min="13829" max="13829" width="14.7109375" customWidth="1"/>
    <col min="13830" max="13830" width="15.42578125" customWidth="1"/>
    <col min="13831" max="13831" width="14.42578125" customWidth="1"/>
    <col min="13832" max="13832" width="22.42578125" customWidth="1"/>
    <col min="13833" max="13833" width="16.5703125" bestFit="1" customWidth="1"/>
    <col min="13834" max="13834" width="15.85546875" bestFit="1" customWidth="1"/>
    <col min="14081" max="14081" width="23.5703125" customWidth="1"/>
    <col min="14082" max="14082" width="6" customWidth="1"/>
    <col min="14083" max="14083" width="16.5703125" customWidth="1"/>
    <col min="14084" max="14084" width="16.42578125" customWidth="1"/>
    <col min="14085" max="14085" width="14.7109375" customWidth="1"/>
    <col min="14086" max="14086" width="15.42578125" customWidth="1"/>
    <col min="14087" max="14087" width="14.42578125" customWidth="1"/>
    <col min="14088" max="14088" width="22.42578125" customWidth="1"/>
    <col min="14089" max="14089" width="16.5703125" bestFit="1" customWidth="1"/>
    <col min="14090" max="14090" width="15.85546875" bestFit="1" customWidth="1"/>
    <col min="14337" max="14337" width="23.5703125" customWidth="1"/>
    <col min="14338" max="14338" width="6" customWidth="1"/>
    <col min="14339" max="14339" width="16.5703125" customWidth="1"/>
    <col min="14340" max="14340" width="16.42578125" customWidth="1"/>
    <col min="14341" max="14341" width="14.7109375" customWidth="1"/>
    <col min="14342" max="14342" width="15.42578125" customWidth="1"/>
    <col min="14343" max="14343" width="14.42578125" customWidth="1"/>
    <col min="14344" max="14344" width="22.42578125" customWidth="1"/>
    <col min="14345" max="14345" width="16.5703125" bestFit="1" customWidth="1"/>
    <col min="14346" max="14346" width="15.85546875" bestFit="1" customWidth="1"/>
    <col min="14593" max="14593" width="23.5703125" customWidth="1"/>
    <col min="14594" max="14594" width="6" customWidth="1"/>
    <col min="14595" max="14595" width="16.5703125" customWidth="1"/>
    <col min="14596" max="14596" width="16.42578125" customWidth="1"/>
    <col min="14597" max="14597" width="14.7109375" customWidth="1"/>
    <col min="14598" max="14598" width="15.42578125" customWidth="1"/>
    <col min="14599" max="14599" width="14.42578125" customWidth="1"/>
    <col min="14600" max="14600" width="22.42578125" customWidth="1"/>
    <col min="14601" max="14601" width="16.5703125" bestFit="1" customWidth="1"/>
    <col min="14602" max="14602" width="15.85546875" bestFit="1" customWidth="1"/>
    <col min="14849" max="14849" width="23.5703125" customWidth="1"/>
    <col min="14850" max="14850" width="6" customWidth="1"/>
    <col min="14851" max="14851" width="16.5703125" customWidth="1"/>
    <col min="14852" max="14852" width="16.42578125" customWidth="1"/>
    <col min="14853" max="14853" width="14.7109375" customWidth="1"/>
    <col min="14854" max="14854" width="15.42578125" customWidth="1"/>
    <col min="14855" max="14855" width="14.42578125" customWidth="1"/>
    <col min="14856" max="14856" width="22.42578125" customWidth="1"/>
    <col min="14857" max="14857" width="16.5703125" bestFit="1" customWidth="1"/>
    <col min="14858" max="14858" width="15.85546875" bestFit="1" customWidth="1"/>
    <col min="15105" max="15105" width="23.5703125" customWidth="1"/>
    <col min="15106" max="15106" width="6" customWidth="1"/>
    <col min="15107" max="15107" width="16.5703125" customWidth="1"/>
    <col min="15108" max="15108" width="16.42578125" customWidth="1"/>
    <col min="15109" max="15109" width="14.7109375" customWidth="1"/>
    <col min="15110" max="15110" width="15.42578125" customWidth="1"/>
    <col min="15111" max="15111" width="14.42578125" customWidth="1"/>
    <col min="15112" max="15112" width="22.42578125" customWidth="1"/>
    <col min="15113" max="15113" width="16.5703125" bestFit="1" customWidth="1"/>
    <col min="15114" max="15114" width="15.85546875" bestFit="1" customWidth="1"/>
    <col min="15361" max="15361" width="23.5703125" customWidth="1"/>
    <col min="15362" max="15362" width="6" customWidth="1"/>
    <col min="15363" max="15363" width="16.5703125" customWidth="1"/>
    <col min="15364" max="15364" width="16.42578125" customWidth="1"/>
    <col min="15365" max="15365" width="14.7109375" customWidth="1"/>
    <col min="15366" max="15366" width="15.42578125" customWidth="1"/>
    <col min="15367" max="15367" width="14.42578125" customWidth="1"/>
    <col min="15368" max="15368" width="22.42578125" customWidth="1"/>
    <col min="15369" max="15369" width="16.5703125" bestFit="1" customWidth="1"/>
    <col min="15370" max="15370" width="15.85546875" bestFit="1" customWidth="1"/>
    <col min="15617" max="15617" width="23.5703125" customWidth="1"/>
    <col min="15618" max="15618" width="6" customWidth="1"/>
    <col min="15619" max="15619" width="16.5703125" customWidth="1"/>
    <col min="15620" max="15620" width="16.42578125" customWidth="1"/>
    <col min="15621" max="15621" width="14.7109375" customWidth="1"/>
    <col min="15622" max="15622" width="15.42578125" customWidth="1"/>
    <col min="15623" max="15623" width="14.42578125" customWidth="1"/>
    <col min="15624" max="15624" width="22.42578125" customWidth="1"/>
    <col min="15625" max="15625" width="16.5703125" bestFit="1" customWidth="1"/>
    <col min="15626" max="15626" width="15.85546875" bestFit="1" customWidth="1"/>
    <col min="15873" max="15873" width="23.5703125" customWidth="1"/>
    <col min="15874" max="15874" width="6" customWidth="1"/>
    <col min="15875" max="15875" width="16.5703125" customWidth="1"/>
    <col min="15876" max="15876" width="16.42578125" customWidth="1"/>
    <col min="15877" max="15877" width="14.7109375" customWidth="1"/>
    <col min="15878" max="15878" width="15.42578125" customWidth="1"/>
    <col min="15879" max="15879" width="14.42578125" customWidth="1"/>
    <col min="15880" max="15880" width="22.42578125" customWidth="1"/>
    <col min="15881" max="15881" width="16.5703125" bestFit="1" customWidth="1"/>
    <col min="15882" max="15882" width="15.85546875" bestFit="1" customWidth="1"/>
    <col min="16129" max="16129" width="23.5703125" customWidth="1"/>
    <col min="16130" max="16130" width="6" customWidth="1"/>
    <col min="16131" max="16131" width="16.5703125" customWidth="1"/>
    <col min="16132" max="16132" width="16.42578125" customWidth="1"/>
    <col min="16133" max="16133" width="14.7109375" customWidth="1"/>
    <col min="16134" max="16134" width="15.42578125" customWidth="1"/>
    <col min="16135" max="16135" width="14.42578125" customWidth="1"/>
    <col min="16136" max="16136" width="22.42578125" customWidth="1"/>
    <col min="16137" max="16137" width="16.5703125" bestFit="1" customWidth="1"/>
    <col min="16138" max="16138" width="15.85546875" bestFit="1" customWidth="1"/>
  </cols>
  <sheetData>
    <row r="1" spans="1:9" ht="14.25" customHeight="1">
      <c r="A1" s="304" t="s">
        <v>85</v>
      </c>
      <c r="B1" s="73"/>
      <c r="G1" s="306" t="s">
        <v>86</v>
      </c>
      <c r="H1" s="306"/>
      <c r="I1" s="74"/>
    </row>
    <row r="2" spans="1:9" ht="27.75" customHeight="1">
      <c r="A2" s="305"/>
      <c r="B2" s="73"/>
      <c r="C2" s="307" t="s">
        <v>87</v>
      </c>
      <c r="D2" s="307"/>
      <c r="E2" s="307"/>
      <c r="F2" s="307"/>
      <c r="G2" s="308" t="s">
        <v>88</v>
      </c>
      <c r="H2" s="308"/>
      <c r="I2" s="75"/>
    </row>
    <row r="3" spans="1:9" ht="15" customHeight="1">
      <c r="A3" s="76"/>
      <c r="B3" s="77" t="s">
        <v>89</v>
      </c>
      <c r="D3" s="77"/>
      <c r="E3" s="78" t="s">
        <v>90</v>
      </c>
      <c r="F3" s="79" t="s">
        <v>91</v>
      </c>
      <c r="G3" s="302" t="s">
        <v>245</v>
      </c>
      <c r="H3" s="303"/>
      <c r="I3" s="80"/>
    </row>
    <row r="4" spans="1:9" ht="15" customHeight="1">
      <c r="A4" s="81"/>
      <c r="B4" s="77" t="s">
        <v>92</v>
      </c>
      <c r="D4" s="77"/>
      <c r="E4" s="77"/>
      <c r="F4" s="79" t="s">
        <v>93</v>
      </c>
      <c r="G4" s="302" t="s">
        <v>208</v>
      </c>
      <c r="H4" s="303"/>
      <c r="I4" s="80"/>
    </row>
    <row r="5" spans="1:9" ht="15" customHeight="1">
      <c r="A5" s="81"/>
      <c r="B5" s="77" t="s">
        <v>94</v>
      </c>
      <c r="D5" s="77"/>
      <c r="E5" s="77"/>
      <c r="F5" s="79" t="s">
        <v>95</v>
      </c>
      <c r="H5" s="77"/>
    </row>
    <row r="6" spans="1:9" ht="2.25" customHeight="1">
      <c r="C6" s="82"/>
      <c r="D6" s="82"/>
      <c r="E6" s="82"/>
      <c r="F6" s="82"/>
      <c r="G6" s="82"/>
      <c r="H6" s="82"/>
    </row>
    <row r="7" spans="1:9" s="25" customFormat="1" ht="15.95" customHeight="1">
      <c r="A7" s="83" t="s">
        <v>96</v>
      </c>
      <c r="B7" s="84"/>
      <c r="C7" s="84"/>
      <c r="D7" s="84"/>
      <c r="E7" s="85"/>
      <c r="F7" s="84"/>
      <c r="G7" s="84"/>
      <c r="H7" s="84"/>
    </row>
    <row r="8" spans="1:9" s="25" customFormat="1" ht="15.95" customHeight="1">
      <c r="A8" s="83" t="s">
        <v>75</v>
      </c>
      <c r="B8" s="84"/>
      <c r="D8" s="86" t="s">
        <v>37</v>
      </c>
      <c r="G8" s="86"/>
      <c r="H8" s="84"/>
    </row>
    <row r="9" spans="1:9" s="25" customFormat="1" ht="15.95" customHeight="1">
      <c r="A9" s="86" t="s">
        <v>97</v>
      </c>
      <c r="B9" s="84"/>
      <c r="C9" s="84"/>
      <c r="F9" s="84"/>
      <c r="G9" s="84"/>
      <c r="H9" s="84" t="s">
        <v>98</v>
      </c>
    </row>
    <row r="10" spans="1:9" s="25" customFormat="1" ht="15.95" customHeight="1">
      <c r="A10" s="84"/>
      <c r="B10" s="84"/>
      <c r="C10" s="84"/>
      <c r="D10" s="86" t="s">
        <v>99</v>
      </c>
      <c r="F10" s="84"/>
      <c r="G10" s="84"/>
    </row>
    <row r="11" spans="1:9" s="25" customFormat="1" ht="15.95" customHeight="1">
      <c r="A11" s="83" t="s">
        <v>100</v>
      </c>
      <c r="B11" s="87"/>
      <c r="D11" s="86" t="s">
        <v>101</v>
      </c>
      <c r="G11" s="86"/>
      <c r="H11" s="84"/>
    </row>
    <row r="12" spans="1:9" s="88" customFormat="1" ht="6" customHeight="1"/>
    <row r="13" spans="1:9" s="25" customFormat="1" ht="14.25" customHeight="1">
      <c r="A13" s="311" t="s">
        <v>21</v>
      </c>
      <c r="B13" s="311"/>
      <c r="C13" s="311"/>
      <c r="D13" s="312" t="s">
        <v>22</v>
      </c>
      <c r="E13" s="312" t="s">
        <v>102</v>
      </c>
      <c r="F13" s="312" t="s">
        <v>103</v>
      </c>
      <c r="G13" s="312" t="s">
        <v>104</v>
      </c>
      <c r="H13" s="313" t="s">
        <v>105</v>
      </c>
    </row>
    <row r="14" spans="1:9" s="25" customFormat="1" ht="36" customHeight="1">
      <c r="A14" s="311"/>
      <c r="B14" s="311"/>
      <c r="C14" s="311"/>
      <c r="D14" s="312"/>
      <c r="E14" s="312"/>
      <c r="F14" s="312"/>
      <c r="G14" s="312"/>
      <c r="H14" s="314"/>
    </row>
    <row r="15" spans="1:9" s="25" customFormat="1" ht="15.75">
      <c r="A15" s="315">
        <v>-1</v>
      </c>
      <c r="B15" s="316"/>
      <c r="C15" s="317"/>
      <c r="D15" s="89">
        <v>-2</v>
      </c>
      <c r="E15" s="90">
        <v>-3</v>
      </c>
      <c r="F15" s="90">
        <v>-4</v>
      </c>
      <c r="G15" s="90">
        <v>-5</v>
      </c>
      <c r="H15" s="89">
        <v>-6</v>
      </c>
    </row>
    <row r="16" spans="1:9" s="25" customFormat="1" ht="28.5" customHeight="1">
      <c r="A16" s="318" t="s">
        <v>236</v>
      </c>
      <c r="B16" s="318"/>
      <c r="C16" s="318"/>
      <c r="D16" s="150" t="s">
        <v>135</v>
      </c>
      <c r="E16" s="169">
        <v>622</v>
      </c>
      <c r="F16" s="152" t="s">
        <v>141</v>
      </c>
      <c r="G16" s="169">
        <v>13</v>
      </c>
      <c r="H16" s="151">
        <f>('Lương T10'!D27+'Lương T10'!E27+'Lương T10'!H27+'Lương T10'!I27+'BV T10'!D17)*2%*1490000</f>
        <v>2184860.7848000005</v>
      </c>
      <c r="I16" s="91">
        <f>'Lương T10'!V27+'BV T10'!O17</f>
        <v>2184860.7848000005</v>
      </c>
    </row>
    <row r="17" spans="1:9" s="25" customFormat="1" ht="33.75" customHeight="1">
      <c r="A17" s="347"/>
      <c r="B17" s="347"/>
      <c r="C17" s="347"/>
      <c r="D17" s="177"/>
      <c r="E17" s="168"/>
      <c r="F17" s="168"/>
      <c r="G17" s="168"/>
      <c r="H17" s="178"/>
      <c r="I17" s="91"/>
    </row>
    <row r="18" spans="1:9" s="25" customFormat="1" ht="33.75" customHeight="1">
      <c r="A18" s="347"/>
      <c r="B18" s="347"/>
      <c r="C18" s="347"/>
      <c r="D18" s="177"/>
      <c r="E18" s="168"/>
      <c r="F18" s="168"/>
      <c r="G18" s="168"/>
      <c r="H18" s="178"/>
      <c r="I18" s="91"/>
    </row>
    <row r="19" spans="1:9" s="25" customFormat="1" ht="39.75" customHeight="1">
      <c r="A19" s="348"/>
      <c r="B19" s="349"/>
      <c r="C19" s="350"/>
      <c r="D19" s="118"/>
      <c r="E19" s="117"/>
      <c r="F19" s="117"/>
      <c r="G19" s="117"/>
      <c r="H19" s="119"/>
      <c r="I19" s="91"/>
    </row>
    <row r="20" spans="1:9" s="25" customFormat="1" ht="24" customHeight="1">
      <c r="A20" s="319" t="s">
        <v>42</v>
      </c>
      <c r="B20" s="320"/>
      <c r="C20" s="320"/>
      <c r="D20" s="320"/>
      <c r="E20" s="320"/>
      <c r="F20" s="320"/>
      <c r="G20" s="321"/>
      <c r="H20" s="120">
        <f>SUM(H16:H19)</f>
        <v>2184860.7848000005</v>
      </c>
      <c r="I20" s="94"/>
    </row>
    <row r="21" spans="1:9" s="88" customFormat="1" ht="5.25" customHeight="1">
      <c r="A21" s="95"/>
      <c r="B21" s="95"/>
      <c r="C21" s="95"/>
      <c r="D21" s="95"/>
      <c r="E21" s="95"/>
      <c r="F21" s="95"/>
      <c r="G21" s="95"/>
      <c r="H21" s="96"/>
    </row>
    <row r="22" spans="1:9" s="88" customFormat="1" ht="21.75" customHeight="1">
      <c r="A22" s="322" t="s">
        <v>246</v>
      </c>
      <c r="B22" s="322"/>
      <c r="C22" s="322"/>
      <c r="D22" s="322"/>
      <c r="E22" s="322"/>
      <c r="F22" s="323"/>
      <c r="G22" s="324" t="s">
        <v>23</v>
      </c>
      <c r="H22" s="325"/>
    </row>
    <row r="23" spans="1:9" s="88" customFormat="1" ht="17.25" customHeight="1">
      <c r="A23" s="153" t="s">
        <v>237</v>
      </c>
      <c r="B23" s="101"/>
      <c r="C23" s="102"/>
      <c r="D23" s="102"/>
      <c r="E23" s="97"/>
      <c r="F23" s="98"/>
      <c r="G23" s="99" t="s">
        <v>106</v>
      </c>
      <c r="H23" s="100"/>
    </row>
    <row r="24" spans="1:9" s="88" customFormat="1" ht="19.5" customHeight="1">
      <c r="A24" s="163" t="s">
        <v>40</v>
      </c>
      <c r="B24" s="101"/>
      <c r="C24" s="102"/>
      <c r="D24" s="102"/>
      <c r="E24" s="102"/>
      <c r="F24" s="102"/>
      <c r="G24" s="99" t="s">
        <v>133</v>
      </c>
      <c r="H24" s="100"/>
    </row>
    <row r="25" spans="1:9" s="88" customFormat="1" ht="15" customHeight="1">
      <c r="A25" s="165" t="s">
        <v>134</v>
      </c>
      <c r="B25" s="148"/>
      <c r="C25" s="148"/>
      <c r="D25" s="148"/>
      <c r="E25" s="103"/>
      <c r="F25" s="103"/>
      <c r="G25" s="99" t="s">
        <v>108</v>
      </c>
      <c r="H25" s="100"/>
    </row>
    <row r="26" spans="1:9" s="88" customFormat="1" ht="15" customHeight="1">
      <c r="A26" s="167" t="s">
        <v>79</v>
      </c>
      <c r="B26" s="148"/>
      <c r="C26" s="148"/>
      <c r="D26" s="101"/>
      <c r="E26" s="101"/>
      <c r="F26" s="104"/>
      <c r="G26" s="99" t="s">
        <v>109</v>
      </c>
      <c r="H26" s="100"/>
    </row>
    <row r="27" spans="1:9" s="88" customFormat="1" ht="15" customHeight="1">
      <c r="A27" s="167" t="s">
        <v>76</v>
      </c>
      <c r="B27" s="26"/>
      <c r="C27" s="26"/>
      <c r="D27" s="26"/>
      <c r="E27" s="101"/>
      <c r="F27" s="102"/>
      <c r="G27" s="309" t="s">
        <v>108</v>
      </c>
      <c r="H27" s="310"/>
    </row>
    <row r="28" spans="1:9" s="88" customFormat="1" ht="15" customHeight="1">
      <c r="A28" s="104" t="s">
        <v>110</v>
      </c>
      <c r="B28" s="104"/>
      <c r="C28" s="104"/>
      <c r="D28" s="104"/>
      <c r="E28" s="104"/>
      <c r="F28" s="104"/>
      <c r="G28" s="309" t="s">
        <v>109</v>
      </c>
      <c r="H28" s="310"/>
    </row>
    <row r="29" spans="1:9" s="88" customFormat="1" ht="15" customHeight="1">
      <c r="A29" s="104" t="s">
        <v>111</v>
      </c>
      <c r="B29" s="104"/>
      <c r="C29" s="104"/>
      <c r="D29" s="104"/>
      <c r="E29" s="104"/>
      <c r="F29" s="104"/>
      <c r="G29" s="105" t="s">
        <v>112</v>
      </c>
      <c r="H29" s="106"/>
    </row>
    <row r="30" spans="1:9" s="88" customFormat="1" ht="15" customHeight="1">
      <c r="A30" s="331"/>
      <c r="B30" s="331"/>
      <c r="C30" s="331"/>
      <c r="D30" s="331"/>
      <c r="E30" s="331"/>
      <c r="F30" s="331"/>
      <c r="G30" s="331"/>
      <c r="H30" s="331"/>
    </row>
    <row r="31" spans="1:9" s="88" customFormat="1" ht="2.25" customHeight="1">
      <c r="A31" s="107"/>
      <c r="B31" s="107"/>
      <c r="C31" s="107"/>
      <c r="D31" s="107"/>
      <c r="E31" s="107"/>
      <c r="F31" s="107"/>
      <c r="G31" s="107"/>
      <c r="H31" s="107"/>
    </row>
    <row r="32" spans="1:9" s="88" customFormat="1" ht="15.75" customHeight="1">
      <c r="A32" s="329" t="s">
        <v>24</v>
      </c>
      <c r="B32" s="329"/>
      <c r="C32" s="329"/>
      <c r="D32" s="329"/>
      <c r="E32" s="329" t="s">
        <v>25</v>
      </c>
      <c r="F32" s="329"/>
      <c r="G32" s="329"/>
      <c r="H32" s="329"/>
    </row>
    <row r="33" spans="1:11" s="88" customFormat="1" ht="15">
      <c r="A33" s="332" t="s">
        <v>209</v>
      </c>
      <c r="B33" s="332"/>
      <c r="C33" s="332"/>
      <c r="D33" s="332"/>
      <c r="E33" s="332" t="s">
        <v>234</v>
      </c>
      <c r="F33" s="332"/>
      <c r="G33" s="332"/>
      <c r="H33" s="332"/>
    </row>
    <row r="34" spans="1:11" s="88" customFormat="1" ht="15" customHeight="1">
      <c r="A34" s="329" t="s">
        <v>113</v>
      </c>
      <c r="B34" s="329"/>
      <c r="C34" s="329" t="s">
        <v>114</v>
      </c>
      <c r="D34" s="329"/>
      <c r="E34" s="329" t="s">
        <v>26</v>
      </c>
      <c r="F34" s="329"/>
      <c r="G34" s="329" t="s">
        <v>45</v>
      </c>
      <c r="H34" s="329"/>
    </row>
    <row r="35" spans="1:11" s="88" customFormat="1" ht="12.95" customHeight="1">
      <c r="A35" s="107"/>
      <c r="B35" s="107"/>
      <c r="C35" s="107"/>
      <c r="D35" s="107"/>
      <c r="E35" s="330" t="s">
        <v>115</v>
      </c>
      <c r="F35" s="330"/>
      <c r="G35" s="330" t="s">
        <v>116</v>
      </c>
      <c r="H35" s="330"/>
    </row>
    <row r="36" spans="1:11" s="88" customFormat="1" ht="15">
      <c r="A36" s="107"/>
      <c r="B36" s="107"/>
      <c r="C36" s="107"/>
      <c r="D36" s="107"/>
      <c r="E36" s="107"/>
      <c r="F36" s="107"/>
      <c r="G36" s="107"/>
      <c r="H36" s="107"/>
    </row>
    <row r="37" spans="1:11" s="88" customFormat="1" ht="15">
      <c r="A37" s="107"/>
      <c r="B37" s="107"/>
      <c r="C37" s="107"/>
      <c r="D37" s="107"/>
      <c r="E37" s="107"/>
      <c r="F37" s="107"/>
      <c r="G37" s="107"/>
      <c r="H37" s="107"/>
    </row>
    <row r="38" spans="1:11" s="88" customFormat="1" ht="15">
      <c r="A38" s="107"/>
      <c r="B38" s="107"/>
      <c r="C38" s="107"/>
      <c r="D38" s="107"/>
      <c r="E38" s="107"/>
      <c r="F38" s="107"/>
      <c r="G38" s="107"/>
      <c r="H38" s="107"/>
    </row>
    <row r="39" spans="1:11" s="88" customFormat="1" ht="15">
      <c r="A39" s="107"/>
      <c r="B39" s="107"/>
      <c r="C39" s="107"/>
      <c r="D39" s="107"/>
      <c r="E39" s="333" t="s">
        <v>8</v>
      </c>
      <c r="F39" s="333"/>
      <c r="G39" s="108"/>
      <c r="H39" s="107"/>
    </row>
    <row r="40" spans="1:11" s="88" customFormat="1" ht="16.5" customHeight="1">
      <c r="A40" s="334" t="s">
        <v>117</v>
      </c>
      <c r="B40" s="335"/>
      <c r="C40" s="334" t="s">
        <v>118</v>
      </c>
      <c r="D40" s="336"/>
      <c r="E40" s="335"/>
      <c r="F40" s="334" t="s">
        <v>119</v>
      </c>
      <c r="G40" s="336"/>
      <c r="H40" s="335"/>
    </row>
    <row r="41" spans="1:11" s="88" customFormat="1">
      <c r="A41" s="337" t="s">
        <v>215</v>
      </c>
      <c r="B41" s="338"/>
      <c r="C41" s="339" t="s">
        <v>120</v>
      </c>
      <c r="D41" s="340"/>
      <c r="E41" s="340"/>
      <c r="F41" s="339" t="s">
        <v>121</v>
      </c>
      <c r="G41" s="340"/>
      <c r="H41" s="340"/>
      <c r="I41" s="109"/>
    </row>
    <row r="42" spans="1:11" s="88" customFormat="1">
      <c r="A42" s="341" t="s">
        <v>122</v>
      </c>
      <c r="B42" s="342"/>
      <c r="C42" s="110" t="s">
        <v>123</v>
      </c>
      <c r="D42" s="111"/>
      <c r="E42" s="111"/>
      <c r="F42" s="110" t="s">
        <v>124</v>
      </c>
      <c r="G42" s="111"/>
      <c r="H42" s="112"/>
    </row>
    <row r="43" spans="1:11" s="88" customFormat="1">
      <c r="A43" s="109"/>
      <c r="B43" s="113"/>
      <c r="C43" s="109"/>
      <c r="D43" s="114"/>
      <c r="E43" s="113"/>
      <c r="F43" s="109"/>
      <c r="G43" s="114"/>
      <c r="H43" s="113"/>
    </row>
    <row r="44" spans="1:11" s="88" customFormat="1">
      <c r="A44" s="109"/>
      <c r="B44" s="113"/>
      <c r="C44" s="109"/>
      <c r="D44" s="114"/>
      <c r="E44" s="113"/>
      <c r="F44" s="109"/>
      <c r="G44" s="114"/>
      <c r="H44" s="113"/>
    </row>
    <row r="45" spans="1:11">
      <c r="A45" s="115"/>
      <c r="B45" s="115"/>
      <c r="C45" s="115"/>
      <c r="D45" s="115"/>
      <c r="E45" s="115"/>
      <c r="F45" s="115"/>
      <c r="G45" s="115"/>
      <c r="H45" s="115"/>
      <c r="I45" s="116"/>
      <c r="J45" s="116"/>
      <c r="K45" s="116"/>
    </row>
    <row r="46" spans="1:11">
      <c r="A46" s="115"/>
      <c r="B46" s="115"/>
      <c r="C46" s="115"/>
      <c r="D46" s="115"/>
      <c r="E46" s="115"/>
      <c r="F46" s="115"/>
      <c r="G46" s="115"/>
      <c r="H46" s="115"/>
      <c r="I46" s="116"/>
      <c r="J46" s="116"/>
      <c r="K46" s="116"/>
    </row>
    <row r="47" spans="1:11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</row>
    <row r="48" spans="1:11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</row>
    <row r="49" spans="1:11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</row>
    <row r="50" spans="1:11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11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</row>
    <row r="52" spans="1:11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</row>
    <row r="53" spans="1:11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</row>
    <row r="54" spans="1:11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</row>
    <row r="55" spans="1:11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</row>
    <row r="56" spans="1:11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</row>
    <row r="57" spans="1:11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</row>
    <row r="58" spans="1:11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</row>
    <row r="59" spans="1:11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</row>
    <row r="60" spans="1:11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</row>
    <row r="61" spans="1:11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1:11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</row>
    <row r="63" spans="1:11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</row>
    <row r="64" spans="1:11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</row>
    <row r="65" spans="1:11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1:11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1:11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1:11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</row>
    <row r="69" spans="1:11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</row>
    <row r="70" spans="1:11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</row>
    <row r="71" spans="1:1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</row>
    <row r="72" spans="1:11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</row>
    <row r="73" spans="1:11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</row>
    <row r="74" spans="1:11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</row>
    <row r="75" spans="1:11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</row>
    <row r="76" spans="1:11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</row>
    <row r="77" spans="1:11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</row>
    <row r="78" spans="1:1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</row>
    <row r="79" spans="1:1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</row>
    <row r="80" spans="1:11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</row>
    <row r="81" spans="1:11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</row>
    <row r="82" spans="1:11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</row>
    <row r="83" spans="1:11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</row>
    <row r="84" spans="1:11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</row>
    <row r="85" spans="1:11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</row>
    <row r="86" spans="1:11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</row>
    <row r="87" spans="1:11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</row>
    <row r="88" spans="1:1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</row>
    <row r="89" spans="1:11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</row>
    <row r="90" spans="1:11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</row>
    <row r="91" spans="1:11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</row>
    <row r="92" spans="1:11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</row>
    <row r="93" spans="1:11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</row>
    <row r="94" spans="1:11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</row>
    <row r="95" spans="1:11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</row>
    <row r="96" spans="1:11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</row>
    <row r="97" spans="1:11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</row>
    <row r="98" spans="1:11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</row>
    <row r="99" spans="1:11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</row>
    <row r="100" spans="1:11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</row>
    <row r="101" spans="1:11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</row>
    <row r="102" spans="1:11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</row>
    <row r="103" spans="1:11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</row>
    <row r="104" spans="1:11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</row>
    <row r="105" spans="1:11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</row>
    <row r="106" spans="1:11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</row>
    <row r="107" spans="1:11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</row>
    <row r="108" spans="1:11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</row>
    <row r="109" spans="1:11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</row>
    <row r="110" spans="1:11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</row>
    <row r="111" spans="1:11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</row>
    <row r="112" spans="1:11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</row>
    <row r="113" spans="1:11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</row>
    <row r="114" spans="1:11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</row>
    <row r="115" spans="1:11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</row>
    <row r="116" spans="1:11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</row>
    <row r="117" spans="1:11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</row>
    <row r="118" spans="1:11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</row>
    <row r="119" spans="1:11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</row>
    <row r="120" spans="1:11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</row>
    <row r="121" spans="1:11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</row>
    <row r="122" spans="1:11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</row>
    <row r="123" spans="1:11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</row>
    <row r="124" spans="1:11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</row>
    <row r="125" spans="1:11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</row>
    <row r="126" spans="1:11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</row>
    <row r="127" spans="1:11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</row>
    <row r="128" spans="1:11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</row>
  </sheetData>
  <mergeCells count="41">
    <mergeCell ref="A42:B42"/>
    <mergeCell ref="E39:F39"/>
    <mergeCell ref="A40:B40"/>
    <mergeCell ref="C40:E40"/>
    <mergeCell ref="F40:H40"/>
    <mergeCell ref="A41:B41"/>
    <mergeCell ref="C41:E41"/>
    <mergeCell ref="F41:H41"/>
    <mergeCell ref="A34:B34"/>
    <mergeCell ref="C34:D34"/>
    <mergeCell ref="E34:F34"/>
    <mergeCell ref="G34:H34"/>
    <mergeCell ref="E35:F35"/>
    <mergeCell ref="G35:H35"/>
    <mergeCell ref="A33:D33"/>
    <mergeCell ref="E33:H33"/>
    <mergeCell ref="A18:C18"/>
    <mergeCell ref="A19:C19"/>
    <mergeCell ref="A20:G20"/>
    <mergeCell ref="A22:F22"/>
    <mergeCell ref="G22:H22"/>
    <mergeCell ref="G27:H27"/>
    <mergeCell ref="G28:H28"/>
    <mergeCell ref="A30:H30"/>
    <mergeCell ref="A32:D32"/>
    <mergeCell ref="E32:H32"/>
    <mergeCell ref="A15:C15"/>
    <mergeCell ref="A16:C16"/>
    <mergeCell ref="A17:C17"/>
    <mergeCell ref="A13:C14"/>
    <mergeCell ref="D13:D14"/>
    <mergeCell ref="E13:E14"/>
    <mergeCell ref="F13:F14"/>
    <mergeCell ref="G13:G14"/>
    <mergeCell ref="H13:H14"/>
    <mergeCell ref="A1:A2"/>
    <mergeCell ref="G1:H1"/>
    <mergeCell ref="C2:F2"/>
    <mergeCell ref="G2:H2"/>
    <mergeCell ref="G3:H3"/>
    <mergeCell ref="G4:H4"/>
  </mergeCells>
  <pageMargins left="0" right="0" top="0.5" bottom="0.2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Lương T05</vt:lpstr>
      <vt:lpstr>Lương T10</vt:lpstr>
      <vt:lpstr>BV T10</vt:lpstr>
      <vt:lpstr>CL T1</vt:lpstr>
      <vt:lpstr>BH T1 </vt:lpstr>
      <vt:lpstr>CĐ T1 </vt:lpstr>
      <vt:lpstr>'Lương T05'!Print_Area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nv</cp:lastModifiedBy>
  <cp:lastPrinted>2019-09-24T13:52:54Z</cp:lastPrinted>
  <dcterms:created xsi:type="dcterms:W3CDTF">2013-07-24T13:57:42Z</dcterms:created>
  <dcterms:modified xsi:type="dcterms:W3CDTF">2019-10-25T01:51:02Z</dcterms:modified>
</cp:coreProperties>
</file>